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527"/>
  <workbookPr filterPrivacy="1" defaultThemeVersion="124226"/>
  <xr:revisionPtr revIDLastSave="0" documentId="8_{4916B9E3-3159-734A-9189-1E35EC870F84}" xr6:coauthVersionLast="47" xr6:coauthVersionMax="47" xr10:uidLastSave="{00000000-0000-0000-0000-000000000000}"/>
  <bookViews>
    <workbookView xWindow="-105" yWindow="-105" windowWidth="19425" windowHeight="10425" tabRatio="1000" activeTab="1" xr2:uid="{00000000-000D-0000-FFFF-FFFF00000000}"/>
  </bookViews>
  <sheets>
    <sheet name="Note for users" sheetId="82" r:id="rId1"/>
    <sheet name="1.Project Cost and MOF" sheetId="62" r:id="rId2"/>
    <sheet name="2.Capex Details" sheetId="57" r:id="rId3"/>
    <sheet name="3.Other Exp &amp; Taxes" sheetId="22" r:id="rId4"/>
    <sheet name="4.TL repayment sch" sheetId="23" r:id="rId5"/>
    <sheet name="5.Closing Stock &amp; W Capital" sheetId="61" r:id="rId6"/>
    <sheet name="6.Cons Profit &amp; Loss" sheetId="21" r:id="rId7"/>
    <sheet name="7.Balance Sheet" sheetId="69" r:id="rId8"/>
    <sheet name="8.Cash Flow " sheetId="68" r:id="rId9"/>
    <sheet name="9. Financial indiacators" sheetId="29" r:id="rId10"/>
    <sheet name="10.Grain Production details" sheetId="81" r:id="rId11"/>
    <sheet name="11.F&amp;V Crop Production details" sheetId="83" state="hidden" r:id="rId12"/>
    <sheet name="12.Facility 1 - Trading" sheetId="55" r:id="rId13"/>
    <sheet name="13.Facility 2 Grain Processing" sheetId="72" r:id="rId14"/>
    <sheet name="14. Facility 3 Warehouse" sheetId="42" r:id="rId15"/>
    <sheet name="15. Facility 4 Custom Hiring" sheetId="48" state="hidden" r:id="rId16"/>
    <sheet name="16.Facility 5 Agri Input" sheetId="53" r:id="rId17"/>
    <sheet name="17.Facility 6 Horti Processing " sheetId="84" state="hidden" r:id="rId18"/>
    <sheet name="Sheet1" sheetId="85" r:id="rId19"/>
    <sheet name="Sheet2" sheetId="86" r:id="rId20"/>
  </sheets>
  <externalReferences>
    <externalReference r:id="rId21"/>
    <externalReference r:id="rId22"/>
  </externalReferences>
  <definedNames>
    <definedName name="_xlnm.Print_Area" localSheetId="1">'1.Project Cost and MOF'!$A$1:$G$36</definedName>
    <definedName name="_xlnm.Print_Area" localSheetId="10">'10.Grain Production details'!$A$1:$H$119</definedName>
    <definedName name="_xlnm.Print_Area" localSheetId="11">'11.F&amp;V Crop Production details'!$A$1:$H$127</definedName>
    <definedName name="_xlnm.Print_Area" localSheetId="12">'12.Facility 1 - Trading'!$A$1:$J$313</definedName>
    <definedName name="_xlnm.Print_Area" localSheetId="13">'13.Facility 2 Grain Processing'!$A$3:$J$189</definedName>
    <definedName name="_xlnm.Print_Area" localSheetId="14">'14. Facility 3 Warehouse'!$A$1:$K$57</definedName>
    <definedName name="_xlnm.Print_Area" localSheetId="15">'15. Facility 4 Custom Hiring'!$A$1:$M$68</definedName>
    <definedName name="_xlnm.Print_Area" localSheetId="16">'16.Facility 5 Agri Input'!$A$1:$J$285</definedName>
    <definedName name="_xlnm.Print_Area" localSheetId="17">'17.Facility 6 Horti Processing '!$A$1:$J$192</definedName>
    <definedName name="_xlnm.Print_Area" localSheetId="2">'2.Capex Details'!$A$1:$H$138</definedName>
    <definedName name="_xlnm.Print_Area" localSheetId="3">'3.Other Exp &amp; Taxes'!$A$1:$K$150</definedName>
    <definedName name="_xlnm.Print_Area" localSheetId="4">'4.TL repayment sch'!$A$1:$G$95</definedName>
    <definedName name="_xlnm.Print_Area" localSheetId="5">'5.Closing Stock &amp; W Capital'!$A$1:$L$63</definedName>
    <definedName name="_xlnm.Print_Area" localSheetId="6">'6.Cons Profit &amp; Loss'!$A$1:$I$56</definedName>
    <definedName name="_xlnm.Print_Area" localSheetId="7">'7.Balance Sheet'!$A$1:$I$50</definedName>
    <definedName name="_xlnm.Print_Area" localSheetId="8">'8.Cash Flow '!$A$1:$I$36</definedName>
    <definedName name="_xlnm.Print_Area" localSheetId="9">'9. Financial indiacators'!$B$1:$J$186</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6" i="57" l="1"/>
  <c r="G7" i="57"/>
  <c r="G8" i="57"/>
  <c r="G9" i="57"/>
  <c r="G10" i="57"/>
  <c r="G11" i="57"/>
  <c r="G12" i="57"/>
  <c r="D5" i="62"/>
  <c r="F5" i="62"/>
  <c r="G56" i="57"/>
  <c r="G70" i="57"/>
  <c r="G35" i="57"/>
  <c r="G36" i="57"/>
  <c r="G37" i="57"/>
  <c r="G38" i="57"/>
  <c r="G39" i="57"/>
  <c r="G40" i="57"/>
  <c r="G41" i="57"/>
  <c r="G42" i="57"/>
  <c r="G43" i="57"/>
  <c r="G44" i="57"/>
  <c r="G45" i="57"/>
  <c r="G46" i="57"/>
  <c r="G47" i="57"/>
  <c r="G48" i="57"/>
  <c r="G49" i="57"/>
  <c r="G50" i="57"/>
  <c r="G51" i="57"/>
  <c r="G52" i="57"/>
  <c r="G54" i="57"/>
  <c r="G21" i="57"/>
  <c r="G22" i="57"/>
  <c r="G23" i="57"/>
  <c r="G24" i="57"/>
  <c r="G25" i="57"/>
  <c r="G26" i="57"/>
  <c r="G27" i="57"/>
  <c r="G28" i="57"/>
  <c r="G29" i="57"/>
  <c r="G30" i="57"/>
  <c r="G31" i="57"/>
  <c r="G32" i="57"/>
  <c r="G72" i="57"/>
  <c r="G76" i="57"/>
  <c r="G78" i="57"/>
  <c r="D6" i="62"/>
  <c r="F6" i="62"/>
  <c r="F87" i="57"/>
  <c r="F88" i="57"/>
  <c r="F89" i="57"/>
  <c r="F90" i="57"/>
  <c r="F91" i="57"/>
  <c r="F92" i="57"/>
  <c r="F93" i="57"/>
  <c r="D7" i="62"/>
  <c r="F7" i="62"/>
  <c r="F102" i="57"/>
  <c r="F103" i="57"/>
  <c r="F104" i="57"/>
  <c r="F105" i="57"/>
  <c r="F106" i="57"/>
  <c r="F107" i="57"/>
  <c r="F108" i="57"/>
  <c r="F109" i="57"/>
  <c r="F112" i="57"/>
  <c r="D8" i="62"/>
  <c r="F8" i="62"/>
  <c r="F120" i="57"/>
  <c r="F121" i="57"/>
  <c r="F122" i="57"/>
  <c r="F123" i="57"/>
  <c r="D9" i="62"/>
  <c r="F9" i="62"/>
  <c r="D135" i="57"/>
  <c r="D10" i="62"/>
  <c r="F10" i="62"/>
  <c r="B7" i="81"/>
  <c r="B9" i="81"/>
  <c r="D14" i="81"/>
  <c r="B92" i="81"/>
  <c r="C9" i="53"/>
  <c r="C62" i="53"/>
  <c r="D130" i="53"/>
  <c r="D15" i="81"/>
  <c r="B93" i="81"/>
  <c r="C10" i="53"/>
  <c r="C63" i="53"/>
  <c r="D131" i="53"/>
  <c r="D16" i="81"/>
  <c r="B94" i="81"/>
  <c r="C11" i="53"/>
  <c r="C64" i="53"/>
  <c r="D132" i="53"/>
  <c r="D17" i="81"/>
  <c r="B95" i="81"/>
  <c r="C12" i="53"/>
  <c r="C65" i="53"/>
  <c r="D133" i="53"/>
  <c r="D18" i="81"/>
  <c r="B96" i="81"/>
  <c r="C13" i="53"/>
  <c r="C66" i="53"/>
  <c r="D134" i="53"/>
  <c r="D19" i="81"/>
  <c r="B97" i="81"/>
  <c r="C14" i="53"/>
  <c r="C67" i="53"/>
  <c r="D135" i="53"/>
  <c r="D20" i="81"/>
  <c r="B98" i="81"/>
  <c r="C15" i="53"/>
  <c r="C68" i="53"/>
  <c r="D136" i="53"/>
  <c r="D21" i="81"/>
  <c r="B99" i="81"/>
  <c r="C16" i="53"/>
  <c r="C69" i="53"/>
  <c r="D137" i="53"/>
  <c r="C23" i="81"/>
  <c r="D24" i="81"/>
  <c r="B101" i="81"/>
  <c r="C18" i="53"/>
  <c r="C71" i="53"/>
  <c r="D139" i="53"/>
  <c r="D25" i="81"/>
  <c r="B102" i="81"/>
  <c r="C19" i="53"/>
  <c r="C72" i="53"/>
  <c r="D140" i="53"/>
  <c r="D26" i="81"/>
  <c r="B103" i="81"/>
  <c r="C20" i="53"/>
  <c r="C73" i="53"/>
  <c r="D141" i="53"/>
  <c r="D27" i="81"/>
  <c r="B104" i="81"/>
  <c r="C21" i="53"/>
  <c r="C74" i="53"/>
  <c r="D142" i="53"/>
  <c r="D28" i="81"/>
  <c r="B105" i="81"/>
  <c r="C22" i="53"/>
  <c r="C75" i="53"/>
  <c r="D143" i="53"/>
  <c r="D29" i="81"/>
  <c r="B106" i="81"/>
  <c r="C23" i="53"/>
  <c r="C76" i="53"/>
  <c r="D144" i="53"/>
  <c r="D30" i="81"/>
  <c r="B107" i="81"/>
  <c r="C24" i="53"/>
  <c r="C77" i="53"/>
  <c r="D145" i="53"/>
  <c r="D31" i="81"/>
  <c r="B108" i="81"/>
  <c r="C25" i="53"/>
  <c r="C78" i="53"/>
  <c r="D146" i="53"/>
  <c r="C32" i="81"/>
  <c r="D34" i="81"/>
  <c r="B110" i="81"/>
  <c r="C27" i="53"/>
  <c r="C80" i="53"/>
  <c r="D148" i="53"/>
  <c r="B111" i="81"/>
  <c r="C28" i="53"/>
  <c r="C81" i="53"/>
  <c r="D149" i="53"/>
  <c r="D36" i="81"/>
  <c r="B112" i="81"/>
  <c r="C29" i="53"/>
  <c r="C82" i="53"/>
  <c r="D150" i="53"/>
  <c r="B113" i="81"/>
  <c r="C30" i="53"/>
  <c r="C83" i="53"/>
  <c r="D151" i="53"/>
  <c r="C31" i="53"/>
  <c r="C84" i="53"/>
  <c r="D152" i="53"/>
  <c r="B7" i="83"/>
  <c r="B9" i="83"/>
  <c r="D14" i="83"/>
  <c r="B102" i="83"/>
  <c r="C33" i="53"/>
  <c r="C86" i="53"/>
  <c r="D154" i="53"/>
  <c r="D15" i="83"/>
  <c r="B103" i="83"/>
  <c r="C34" i="53"/>
  <c r="C87" i="53"/>
  <c r="D155" i="53"/>
  <c r="D16" i="83"/>
  <c r="B104" i="83"/>
  <c r="C35" i="53"/>
  <c r="C88" i="53"/>
  <c r="D156" i="53"/>
  <c r="D17" i="83"/>
  <c r="B105" i="83"/>
  <c r="C36" i="53"/>
  <c r="C89" i="53"/>
  <c r="D157" i="53"/>
  <c r="D18" i="83"/>
  <c r="B106" i="83"/>
  <c r="C37" i="53"/>
  <c r="C90" i="53"/>
  <c r="D158" i="53"/>
  <c r="D19" i="83"/>
  <c r="B107" i="83"/>
  <c r="C38" i="53"/>
  <c r="C91" i="53"/>
  <c r="D159" i="53"/>
  <c r="D20" i="83"/>
  <c r="B108" i="83"/>
  <c r="C39" i="53"/>
  <c r="C92" i="53"/>
  <c r="D160" i="53"/>
  <c r="D21" i="83"/>
  <c r="B109" i="83"/>
  <c r="C40" i="53"/>
  <c r="C93" i="53"/>
  <c r="D161" i="53"/>
  <c r="D22" i="83"/>
  <c r="B110" i="83"/>
  <c r="C41" i="53"/>
  <c r="C94" i="53"/>
  <c r="D162" i="53"/>
  <c r="C23" i="83"/>
  <c r="D24" i="83"/>
  <c r="B111" i="83"/>
  <c r="C42" i="53"/>
  <c r="C95" i="53"/>
  <c r="D163" i="53"/>
  <c r="D25" i="83"/>
  <c r="B112" i="83"/>
  <c r="C43" i="53"/>
  <c r="C96" i="53"/>
  <c r="D164" i="53"/>
  <c r="D26" i="83"/>
  <c r="B113" i="83"/>
  <c r="C44" i="53"/>
  <c r="C97" i="53"/>
  <c r="D165" i="53"/>
  <c r="D27" i="83"/>
  <c r="B114" i="83"/>
  <c r="C45" i="53"/>
  <c r="C98" i="53"/>
  <c r="D166" i="53"/>
  <c r="D28" i="83"/>
  <c r="B115" i="83"/>
  <c r="C46" i="53"/>
  <c r="C99" i="53"/>
  <c r="D167" i="53"/>
  <c r="D29" i="83"/>
  <c r="B116" i="83"/>
  <c r="C47" i="53"/>
  <c r="C100" i="53"/>
  <c r="D168" i="53"/>
  <c r="D30" i="83"/>
  <c r="B117" i="83"/>
  <c r="C48" i="53"/>
  <c r="C101" i="53"/>
  <c r="D169" i="53"/>
  <c r="D31" i="83"/>
  <c r="B118" i="83"/>
  <c r="C49" i="53"/>
  <c r="C102" i="53"/>
  <c r="D170" i="53"/>
  <c r="C32" i="83"/>
  <c r="D33" i="83"/>
  <c r="B119" i="83"/>
  <c r="C50" i="53"/>
  <c r="C103" i="53"/>
  <c r="D171" i="53"/>
  <c r="D34" i="83"/>
  <c r="B120" i="83"/>
  <c r="C51" i="53"/>
  <c r="C104" i="53"/>
  <c r="D172" i="53"/>
  <c r="D35" i="83"/>
  <c r="B121" i="83"/>
  <c r="C52" i="53"/>
  <c r="C105" i="53"/>
  <c r="D173" i="53"/>
  <c r="D36" i="83"/>
  <c r="B122" i="83"/>
  <c r="C53" i="53"/>
  <c r="C106" i="53"/>
  <c r="D174" i="53"/>
  <c r="D37" i="83"/>
  <c r="B123" i="83"/>
  <c r="C54" i="53"/>
  <c r="C107" i="53"/>
  <c r="D175" i="53"/>
  <c r="D38" i="83"/>
  <c r="B124" i="83"/>
  <c r="C55" i="53"/>
  <c r="C108" i="53"/>
  <c r="D176" i="53"/>
  <c r="D39" i="83"/>
  <c r="B125" i="83"/>
  <c r="C56" i="53"/>
  <c r="C109" i="53"/>
  <c r="D177" i="53"/>
  <c r="D40" i="83"/>
  <c r="B126" i="83"/>
  <c r="C57" i="53"/>
  <c r="C110" i="53"/>
  <c r="D178" i="53"/>
  <c r="C114" i="53"/>
  <c r="C182" i="53"/>
  <c r="D182" i="53"/>
  <c r="C115" i="53"/>
  <c r="D183" i="53"/>
  <c r="C116" i="53"/>
  <c r="D184" i="53"/>
  <c r="C118" i="53"/>
  <c r="D187" i="53"/>
  <c r="C119" i="53"/>
  <c r="D188" i="53"/>
  <c r="D191" i="53"/>
  <c r="E34" i="61"/>
  <c r="F8" i="48"/>
  <c r="H8" i="48"/>
  <c r="C28" i="48"/>
  <c r="D28" i="48"/>
  <c r="E28" i="48"/>
  <c r="F9" i="48"/>
  <c r="H9" i="48"/>
  <c r="C29" i="48"/>
  <c r="D29" i="48"/>
  <c r="E29" i="48"/>
  <c r="F10" i="48"/>
  <c r="H10" i="48"/>
  <c r="C30" i="48"/>
  <c r="D30" i="48"/>
  <c r="E30" i="48"/>
  <c r="F11" i="48"/>
  <c r="H11" i="48"/>
  <c r="C31" i="48"/>
  <c r="D31" i="48"/>
  <c r="E31" i="48"/>
  <c r="F12" i="48"/>
  <c r="H12" i="48"/>
  <c r="C32" i="48"/>
  <c r="D32" i="48"/>
  <c r="E32" i="48"/>
  <c r="F13" i="48"/>
  <c r="H13" i="48"/>
  <c r="C33" i="48"/>
  <c r="D33" i="48"/>
  <c r="E33" i="48"/>
  <c r="F14" i="48"/>
  <c r="H14" i="48"/>
  <c r="C34" i="48"/>
  <c r="D34" i="48"/>
  <c r="E34" i="48"/>
  <c r="F15" i="48"/>
  <c r="H15" i="48"/>
  <c r="C35" i="48"/>
  <c r="D35" i="48"/>
  <c r="E35" i="48"/>
  <c r="F16" i="48"/>
  <c r="H16" i="48"/>
  <c r="C36" i="48"/>
  <c r="D36" i="48"/>
  <c r="E36" i="48"/>
  <c r="C37" i="48"/>
  <c r="D37" i="48"/>
  <c r="E37" i="48"/>
  <c r="C38" i="48"/>
  <c r="D38" i="48"/>
  <c r="E38" i="48"/>
  <c r="E39" i="48"/>
  <c r="E35" i="61"/>
  <c r="F14" i="81"/>
  <c r="H14" i="81"/>
  <c r="B42" i="81"/>
  <c r="B11" i="55"/>
  <c r="B63" i="55"/>
  <c r="B68" i="55"/>
  <c r="B120" i="55"/>
  <c r="D178" i="55"/>
  <c r="F15" i="81"/>
  <c r="H15" i="81"/>
  <c r="B43" i="81"/>
  <c r="B12" i="55"/>
  <c r="B69" i="55"/>
  <c r="B121" i="55"/>
  <c r="D179" i="55"/>
  <c r="F16" i="81"/>
  <c r="H16" i="81"/>
  <c r="B44" i="81"/>
  <c r="B13" i="55"/>
  <c r="B70" i="55"/>
  <c r="B122" i="55"/>
  <c r="D180" i="55"/>
  <c r="F17" i="81"/>
  <c r="H17" i="81"/>
  <c r="B45" i="81"/>
  <c r="B14" i="55"/>
  <c r="B71" i="55"/>
  <c r="B123" i="55"/>
  <c r="D181" i="55"/>
  <c r="F18" i="81"/>
  <c r="H18" i="81"/>
  <c r="B46" i="81"/>
  <c r="B15" i="55"/>
  <c r="B72" i="55"/>
  <c r="B124" i="55"/>
  <c r="D182" i="55"/>
  <c r="F19" i="81"/>
  <c r="H19" i="81"/>
  <c r="B47" i="81"/>
  <c r="B16" i="55"/>
  <c r="B73" i="55"/>
  <c r="B125" i="55"/>
  <c r="D183" i="55"/>
  <c r="F20" i="81"/>
  <c r="H20" i="81"/>
  <c r="B48" i="81"/>
  <c r="B17" i="55"/>
  <c r="B74" i="55"/>
  <c r="B126" i="55"/>
  <c r="D184" i="55"/>
  <c r="F21" i="81"/>
  <c r="H21" i="81"/>
  <c r="B49" i="81"/>
  <c r="B18" i="55"/>
  <c r="B75" i="55"/>
  <c r="B127" i="55"/>
  <c r="D185" i="55"/>
  <c r="F24" i="83"/>
  <c r="H24" i="83"/>
  <c r="B83" i="83"/>
  <c r="C72" i="83"/>
  <c r="C83" i="83"/>
  <c r="D72" i="83"/>
  <c r="D83" i="83"/>
  <c r="E72" i="83"/>
  <c r="E83" i="83"/>
  <c r="F72" i="83"/>
  <c r="F83" i="83"/>
  <c r="G72" i="83"/>
  <c r="G83" i="83"/>
  <c r="H72" i="83"/>
  <c r="H83" i="83"/>
  <c r="H22" i="81"/>
  <c r="B50" i="81"/>
  <c r="B19" i="55"/>
  <c r="B76" i="55"/>
  <c r="B128" i="55"/>
  <c r="D186" i="55"/>
  <c r="F24" i="81"/>
  <c r="H24" i="81"/>
  <c r="B51" i="81"/>
  <c r="B20" i="55"/>
  <c r="B77" i="55"/>
  <c r="B129" i="55"/>
  <c r="D187" i="55"/>
  <c r="F25" i="81"/>
  <c r="H25" i="81"/>
  <c r="B52" i="81"/>
  <c r="B21" i="55"/>
  <c r="B78" i="55"/>
  <c r="B130" i="55"/>
  <c r="D188" i="55"/>
  <c r="F26" i="81"/>
  <c r="H26" i="81"/>
  <c r="B53" i="81"/>
  <c r="B22" i="55"/>
  <c r="B79" i="55"/>
  <c r="B131" i="55"/>
  <c r="D189" i="55"/>
  <c r="F27" i="81"/>
  <c r="H27" i="81"/>
  <c r="B54" i="81"/>
  <c r="B23" i="55"/>
  <c r="B80" i="55"/>
  <c r="B132" i="55"/>
  <c r="D190" i="55"/>
  <c r="F28" i="81"/>
  <c r="H28" i="81"/>
  <c r="B55" i="81"/>
  <c r="B24" i="55"/>
  <c r="B81" i="55"/>
  <c r="B133" i="55"/>
  <c r="D191" i="55"/>
  <c r="F29" i="81"/>
  <c r="H29" i="81"/>
  <c r="B56" i="81"/>
  <c r="B25" i="55"/>
  <c r="B82" i="55"/>
  <c r="B134" i="55"/>
  <c r="D192" i="55"/>
  <c r="F30" i="81"/>
  <c r="H30" i="81"/>
  <c r="B57" i="81"/>
  <c r="B26" i="55"/>
  <c r="B83" i="55"/>
  <c r="B135" i="55"/>
  <c r="D193" i="55"/>
  <c r="F31" i="81"/>
  <c r="H31" i="81"/>
  <c r="B58" i="81"/>
  <c r="B27" i="55"/>
  <c r="B84" i="55"/>
  <c r="B136" i="55"/>
  <c r="D194" i="55"/>
  <c r="D33" i="81"/>
  <c r="F33" i="81"/>
  <c r="H33" i="81"/>
  <c r="B59" i="81"/>
  <c r="B28" i="55"/>
  <c r="B85" i="55"/>
  <c r="B137" i="55"/>
  <c r="D195" i="55"/>
  <c r="F34" i="81"/>
  <c r="H34" i="81"/>
  <c r="B60" i="81"/>
  <c r="B29" i="55"/>
  <c r="B86" i="55"/>
  <c r="B138" i="55"/>
  <c r="D196" i="55"/>
  <c r="D35" i="81"/>
  <c r="F35" i="81"/>
  <c r="H35" i="81"/>
  <c r="B61" i="81"/>
  <c r="B30" i="55"/>
  <c r="B87" i="55"/>
  <c r="B139" i="55"/>
  <c r="D197" i="55"/>
  <c r="F36" i="81"/>
  <c r="H36" i="81"/>
  <c r="B62" i="81"/>
  <c r="B31" i="55"/>
  <c r="B88" i="55"/>
  <c r="B140" i="55"/>
  <c r="D198" i="55"/>
  <c r="B32" i="55"/>
  <c r="B89" i="55"/>
  <c r="B141" i="55"/>
  <c r="D199" i="55"/>
  <c r="B33" i="55"/>
  <c r="B65" i="55"/>
  <c r="D200" i="55"/>
  <c r="F14" i="83"/>
  <c r="H14" i="83"/>
  <c r="B46" i="83"/>
  <c r="B35" i="55"/>
  <c r="B92" i="55"/>
  <c r="B144" i="55"/>
  <c r="D203" i="55"/>
  <c r="F15" i="83"/>
  <c r="H15" i="83"/>
  <c r="B47" i="83"/>
  <c r="B36" i="55"/>
  <c r="B93" i="55"/>
  <c r="B145" i="55"/>
  <c r="D204" i="55"/>
  <c r="F16" i="83"/>
  <c r="H16" i="83"/>
  <c r="B48" i="83"/>
  <c r="B37" i="55"/>
  <c r="B94" i="55"/>
  <c r="B146" i="55"/>
  <c r="D205" i="55"/>
  <c r="F17" i="83"/>
  <c r="H17" i="83"/>
  <c r="B49" i="83"/>
  <c r="B38" i="55"/>
  <c r="B95" i="55"/>
  <c r="B147" i="55"/>
  <c r="D206" i="55"/>
  <c r="F18" i="83"/>
  <c r="H18" i="83"/>
  <c r="B50" i="83"/>
  <c r="B39" i="55"/>
  <c r="B96" i="55"/>
  <c r="B148" i="55"/>
  <c r="D207" i="55"/>
  <c r="F19" i="83"/>
  <c r="H19" i="83"/>
  <c r="B51" i="83"/>
  <c r="B40" i="55"/>
  <c r="B97" i="55"/>
  <c r="B149" i="55"/>
  <c r="D208" i="55"/>
  <c r="F20" i="83"/>
  <c r="H20" i="83"/>
  <c r="B52" i="83"/>
  <c r="B41" i="55"/>
  <c r="B98" i="55"/>
  <c r="B150" i="55"/>
  <c r="D209" i="55"/>
  <c r="F21" i="83"/>
  <c r="H21" i="83"/>
  <c r="B53" i="83"/>
  <c r="B42" i="55"/>
  <c r="B99" i="55"/>
  <c r="B151" i="55"/>
  <c r="D210" i="55"/>
  <c r="F22" i="83"/>
  <c r="H22" i="83"/>
  <c r="B54" i="83"/>
  <c r="B43" i="55"/>
  <c r="B100" i="55"/>
  <c r="B152" i="55"/>
  <c r="D211" i="55"/>
  <c r="B55" i="83"/>
  <c r="B44" i="55"/>
  <c r="B101" i="55"/>
  <c r="B153" i="55"/>
  <c r="D212" i="55"/>
  <c r="F25" i="83"/>
  <c r="H25" i="83"/>
  <c r="B56" i="83"/>
  <c r="B45" i="55"/>
  <c r="B102" i="55"/>
  <c r="B154" i="55"/>
  <c r="D213" i="55"/>
  <c r="F26" i="83"/>
  <c r="H26" i="83"/>
  <c r="B57" i="83"/>
  <c r="B46" i="55"/>
  <c r="B103" i="55"/>
  <c r="B155" i="55"/>
  <c r="D214" i="55"/>
  <c r="F27" i="83"/>
  <c r="H27" i="83"/>
  <c r="B58" i="83"/>
  <c r="B47" i="55"/>
  <c r="B104" i="55"/>
  <c r="B156" i="55"/>
  <c r="D215" i="55"/>
  <c r="F28" i="83"/>
  <c r="H28" i="83"/>
  <c r="B59" i="83"/>
  <c r="B48" i="55"/>
  <c r="B105" i="55"/>
  <c r="B157" i="55"/>
  <c r="D216" i="55"/>
  <c r="F29" i="83"/>
  <c r="H29" i="83"/>
  <c r="B60" i="83"/>
  <c r="B49" i="55"/>
  <c r="B106" i="55"/>
  <c r="B158" i="55"/>
  <c r="D217" i="55"/>
  <c r="F30" i="83"/>
  <c r="H30" i="83"/>
  <c r="B61" i="83"/>
  <c r="B50" i="55"/>
  <c r="B107" i="55"/>
  <c r="B159" i="55"/>
  <c r="D218" i="55"/>
  <c r="F31" i="83"/>
  <c r="H31" i="83"/>
  <c r="B62" i="83"/>
  <c r="B51" i="55"/>
  <c r="B108" i="55"/>
  <c r="B160" i="55"/>
  <c r="D219" i="55"/>
  <c r="F33" i="83"/>
  <c r="H33" i="83"/>
  <c r="B63" i="83"/>
  <c r="B52" i="55"/>
  <c r="B109" i="55"/>
  <c r="B161" i="55"/>
  <c r="D220" i="55"/>
  <c r="B162" i="55"/>
  <c r="D221" i="55"/>
  <c r="B163" i="55"/>
  <c r="D222" i="55"/>
  <c r="B164" i="55"/>
  <c r="D223" i="55"/>
  <c r="F37" i="83"/>
  <c r="H37" i="83"/>
  <c r="B67" i="83"/>
  <c r="B56" i="55"/>
  <c r="B113" i="55"/>
  <c r="B165" i="55"/>
  <c r="D224" i="55"/>
  <c r="F38" i="83"/>
  <c r="H38" i="83"/>
  <c r="B68" i="83"/>
  <c r="B57" i="55"/>
  <c r="B114" i="55"/>
  <c r="B166" i="55"/>
  <c r="D225" i="55"/>
  <c r="F39" i="83"/>
  <c r="H39" i="83"/>
  <c r="B69" i="83"/>
  <c r="B58" i="55"/>
  <c r="B115" i="55"/>
  <c r="B167" i="55"/>
  <c r="D226" i="55"/>
  <c r="F40" i="83"/>
  <c r="H40" i="83"/>
  <c r="B70" i="83"/>
  <c r="B59" i="55"/>
  <c r="B116" i="55"/>
  <c r="B168" i="55"/>
  <c r="D227" i="55"/>
  <c r="D229" i="55"/>
  <c r="E36" i="61"/>
  <c r="B77" i="81"/>
  <c r="B23" i="72"/>
  <c r="B47" i="72"/>
  <c r="B95" i="72"/>
  <c r="C139" i="72"/>
  <c r="D139" i="72"/>
  <c r="B68" i="81"/>
  <c r="B14" i="72"/>
  <c r="B38" i="72"/>
  <c r="B63" i="72"/>
  <c r="C140" i="72"/>
  <c r="D140" i="72"/>
  <c r="B72" i="81"/>
  <c r="B18" i="72"/>
  <c r="B42" i="72"/>
  <c r="B78" i="72"/>
  <c r="C141" i="72"/>
  <c r="D141" i="72"/>
  <c r="B70" i="81"/>
  <c r="B16" i="72"/>
  <c r="B40" i="72"/>
  <c r="B70" i="72"/>
  <c r="C142" i="72"/>
  <c r="D142" i="72"/>
  <c r="D144" i="72"/>
  <c r="B67" i="81"/>
  <c r="B13" i="72"/>
  <c r="B69" i="81"/>
  <c r="B15" i="72"/>
  <c r="B71" i="81"/>
  <c r="B17" i="72"/>
  <c r="B73" i="81"/>
  <c r="B19" i="72"/>
  <c r="B74" i="81"/>
  <c r="B20" i="72"/>
  <c r="B75" i="81"/>
  <c r="B21" i="72"/>
  <c r="B76" i="81"/>
  <c r="B22" i="72"/>
  <c r="B78" i="81"/>
  <c r="B24" i="72"/>
  <c r="B79" i="81"/>
  <c r="B25" i="72"/>
  <c r="B80" i="81"/>
  <c r="B26" i="72"/>
  <c r="B81" i="81"/>
  <c r="B27" i="72"/>
  <c r="B82" i="81"/>
  <c r="B28" i="72"/>
  <c r="B83" i="81"/>
  <c r="B29" i="72"/>
  <c r="B84" i="81"/>
  <c r="B30" i="72"/>
  <c r="B85" i="81"/>
  <c r="B31" i="72"/>
  <c r="B32" i="72"/>
  <c r="B35" i="72"/>
  <c r="D146" i="72"/>
  <c r="D148" i="72"/>
  <c r="E37" i="61"/>
  <c r="B11" i="42"/>
  <c r="D22" i="42"/>
  <c r="D24" i="42"/>
  <c r="E38" i="61"/>
  <c r="B95" i="83"/>
  <c r="B34" i="84"/>
  <c r="B41" i="84"/>
  <c r="B62" i="84"/>
  <c r="B124" i="84"/>
  <c r="B141" i="84"/>
  <c r="D154" i="84"/>
  <c r="B125" i="84"/>
  <c r="B142" i="84"/>
  <c r="D155" i="84"/>
  <c r="B126" i="84"/>
  <c r="B143" i="84"/>
  <c r="D156" i="84"/>
  <c r="D159" i="84"/>
  <c r="E39" i="61"/>
  <c r="E41" i="61"/>
  <c r="C197" i="53"/>
  <c r="D197" i="53"/>
  <c r="C198" i="53"/>
  <c r="D198" i="53"/>
  <c r="C199" i="53"/>
  <c r="D199" i="53"/>
  <c r="C200" i="53"/>
  <c r="D200" i="53"/>
  <c r="C201" i="53"/>
  <c r="D201" i="53"/>
  <c r="C202" i="53"/>
  <c r="D202" i="53"/>
  <c r="C203" i="53"/>
  <c r="D203" i="53"/>
  <c r="C204" i="53"/>
  <c r="D204" i="53"/>
  <c r="D205" i="53"/>
  <c r="C206" i="53"/>
  <c r="D206" i="53"/>
  <c r="C207" i="53"/>
  <c r="D207" i="53"/>
  <c r="C208" i="53"/>
  <c r="D208" i="53"/>
  <c r="C209" i="53"/>
  <c r="D209" i="53"/>
  <c r="C210" i="53"/>
  <c r="D210" i="53"/>
  <c r="D211" i="53"/>
  <c r="D212" i="53"/>
  <c r="D213" i="53"/>
  <c r="D214" i="53"/>
  <c r="D215" i="53"/>
  <c r="D216" i="53"/>
  <c r="D217" i="53"/>
  <c r="D218" i="53"/>
  <c r="D219" i="53"/>
  <c r="D221" i="53"/>
  <c r="D222" i="53"/>
  <c r="D223" i="53"/>
  <c r="D224" i="53"/>
  <c r="D225" i="53"/>
  <c r="D226" i="53"/>
  <c r="D227" i="53"/>
  <c r="D228" i="53"/>
  <c r="D229" i="53"/>
  <c r="D230" i="53"/>
  <c r="D231" i="53"/>
  <c r="D232" i="53"/>
  <c r="D233" i="53"/>
  <c r="D234" i="53"/>
  <c r="D235" i="53"/>
  <c r="D236" i="53"/>
  <c r="D237" i="53"/>
  <c r="D238" i="53"/>
  <c r="D239" i="53"/>
  <c r="D240" i="53"/>
  <c r="D241" i="53"/>
  <c r="D242" i="53"/>
  <c r="D243" i="53"/>
  <c r="D245" i="53"/>
  <c r="D246" i="53"/>
  <c r="D247" i="53"/>
  <c r="D250" i="53"/>
  <c r="D251" i="53"/>
  <c r="E15" i="61"/>
  <c r="D233" i="55"/>
  <c r="D234" i="55"/>
  <c r="D235" i="55"/>
  <c r="D236" i="55"/>
  <c r="D237" i="55"/>
  <c r="D238" i="55"/>
  <c r="D239" i="55"/>
  <c r="D240" i="55"/>
  <c r="D241" i="55"/>
  <c r="D242" i="55"/>
  <c r="D243" i="55"/>
  <c r="D244" i="55"/>
  <c r="D245" i="55"/>
  <c r="D246" i="55"/>
  <c r="D247" i="55"/>
  <c r="D248" i="55"/>
  <c r="D249" i="55"/>
  <c r="D250" i="55"/>
  <c r="D251" i="55"/>
  <c r="D252" i="55"/>
  <c r="D253" i="55"/>
  <c r="D254" i="55"/>
  <c r="D255" i="55"/>
  <c r="D257" i="55"/>
  <c r="D258" i="55"/>
  <c r="D259" i="55"/>
  <c r="D260" i="55"/>
  <c r="D261" i="55"/>
  <c r="D262" i="55"/>
  <c r="D263" i="55"/>
  <c r="D264" i="55"/>
  <c r="D265" i="55"/>
  <c r="D266" i="55"/>
  <c r="D267" i="55"/>
  <c r="D268" i="55"/>
  <c r="D269" i="55"/>
  <c r="D270" i="55"/>
  <c r="D271" i="55"/>
  <c r="D272" i="55"/>
  <c r="D273" i="55"/>
  <c r="D274" i="55"/>
  <c r="D275" i="55"/>
  <c r="D276" i="55"/>
  <c r="D277" i="55"/>
  <c r="D278" i="55"/>
  <c r="D279" i="55"/>
  <c r="D280" i="55"/>
  <c r="B10" i="55"/>
  <c r="D282" i="55"/>
  <c r="B283" i="55"/>
  <c r="D283" i="55"/>
  <c r="D284" i="55"/>
  <c r="E16" i="61"/>
  <c r="D152" i="72"/>
  <c r="D153" i="72"/>
  <c r="D154" i="72"/>
  <c r="D155" i="72"/>
  <c r="D156" i="72"/>
  <c r="B12" i="72"/>
  <c r="D157" i="72"/>
  <c r="B158" i="72"/>
  <c r="D158" i="72"/>
  <c r="D159" i="72"/>
  <c r="D160" i="72"/>
  <c r="E17" i="61"/>
  <c r="D163" i="84"/>
  <c r="D164" i="84"/>
  <c r="B74" i="83"/>
  <c r="B13" i="84"/>
  <c r="B75" i="83"/>
  <c r="B14" i="84"/>
  <c r="B76" i="83"/>
  <c r="B15" i="84"/>
  <c r="B77" i="83"/>
  <c r="B16" i="84"/>
  <c r="B78" i="83"/>
  <c r="B17" i="84"/>
  <c r="B79" i="83"/>
  <c r="B18" i="84"/>
  <c r="B80" i="83"/>
  <c r="B19" i="84"/>
  <c r="B81" i="83"/>
  <c r="B20" i="84"/>
  <c r="B82" i="83"/>
  <c r="B21" i="84"/>
  <c r="B22" i="84"/>
  <c r="B84" i="83"/>
  <c r="B23" i="84"/>
  <c r="B85" i="83"/>
  <c r="B24" i="84"/>
  <c r="B86" i="83"/>
  <c r="B25" i="84"/>
  <c r="B87" i="83"/>
  <c r="B26" i="84"/>
  <c r="B88" i="83"/>
  <c r="B27" i="84"/>
  <c r="B89" i="83"/>
  <c r="B28" i="84"/>
  <c r="B90" i="83"/>
  <c r="B29" i="84"/>
  <c r="B91" i="83"/>
  <c r="B30" i="84"/>
  <c r="F34" i="83"/>
  <c r="H34" i="83"/>
  <c r="B92" i="83"/>
  <c r="B31" i="84"/>
  <c r="F35" i="83"/>
  <c r="H35" i="83"/>
  <c r="B93" i="83"/>
  <c r="B32" i="84"/>
  <c r="F36" i="83"/>
  <c r="H36" i="83"/>
  <c r="B94" i="83"/>
  <c r="B33" i="84"/>
  <c r="B96" i="83"/>
  <c r="B35" i="84"/>
  <c r="B97" i="83"/>
  <c r="B36" i="84"/>
  <c r="B98" i="83"/>
  <c r="B37" i="84"/>
  <c r="B39" i="84"/>
  <c r="B12" i="84"/>
  <c r="D165" i="84"/>
  <c r="H76" i="57"/>
  <c r="B166" i="84"/>
  <c r="D166" i="84"/>
  <c r="D167" i="84"/>
  <c r="D168" i="84"/>
  <c r="E18" i="61"/>
  <c r="E21" i="61"/>
  <c r="E42" i="61"/>
  <c r="E44" i="61"/>
  <c r="D253" i="53"/>
  <c r="D254" i="53"/>
  <c r="D260" i="53"/>
  <c r="D262" i="53"/>
  <c r="E47" i="61"/>
  <c r="J8" i="48"/>
  <c r="J9" i="48"/>
  <c r="J10" i="48"/>
  <c r="J11" i="48"/>
  <c r="J12" i="48"/>
  <c r="J13" i="48"/>
  <c r="J14" i="48"/>
  <c r="J15" i="48"/>
  <c r="J16" i="48"/>
  <c r="J17" i="48"/>
  <c r="C43" i="48"/>
  <c r="E43" i="48"/>
  <c r="M8" i="48"/>
  <c r="M9" i="48"/>
  <c r="M10" i="48"/>
  <c r="M11" i="48"/>
  <c r="M12" i="48"/>
  <c r="M13" i="48"/>
  <c r="M14" i="48"/>
  <c r="M15" i="48"/>
  <c r="M16" i="48"/>
  <c r="M17" i="48"/>
  <c r="C44" i="48"/>
  <c r="E44" i="48"/>
  <c r="E49" i="48"/>
  <c r="E48" i="61"/>
  <c r="D285" i="55"/>
  <c r="D290" i="55"/>
  <c r="D292" i="55"/>
  <c r="E49" i="61"/>
  <c r="D161" i="72"/>
  <c r="D167" i="72"/>
  <c r="D169" i="72"/>
  <c r="E50" i="61"/>
  <c r="D28" i="42"/>
  <c r="D29" i="42"/>
  <c r="D30" i="42"/>
  <c r="D35" i="42"/>
  <c r="E51" i="61"/>
  <c r="E52" i="61"/>
  <c r="E54" i="61"/>
  <c r="E55" i="61"/>
  <c r="D11" i="62"/>
  <c r="F11" i="62"/>
  <c r="F12" i="62"/>
  <c r="E20" i="62"/>
  <c r="E21" i="62"/>
  <c r="D12" i="62"/>
  <c r="E22" i="62"/>
  <c r="E23" i="62"/>
  <c r="C83" i="29"/>
  <c r="C40" i="81"/>
  <c r="C42" i="81"/>
  <c r="D40" i="81"/>
  <c r="D42" i="81"/>
  <c r="E40" i="81"/>
  <c r="E42" i="81"/>
  <c r="F40" i="81"/>
  <c r="F42" i="81"/>
  <c r="G40" i="81"/>
  <c r="G42" i="81"/>
  <c r="G11" i="55"/>
  <c r="G63" i="55"/>
  <c r="G68" i="55"/>
  <c r="E172" i="55"/>
  <c r="F172" i="55"/>
  <c r="G172" i="55"/>
  <c r="H172" i="55"/>
  <c r="I172" i="55"/>
  <c r="I233" i="55"/>
  <c r="C43" i="81"/>
  <c r="D43" i="81"/>
  <c r="E43" i="81"/>
  <c r="F43" i="81"/>
  <c r="G43" i="81"/>
  <c r="G12" i="55"/>
  <c r="G69" i="55"/>
  <c r="I234" i="55"/>
  <c r="C44" i="81"/>
  <c r="D44" i="81"/>
  <c r="E44" i="81"/>
  <c r="F44" i="81"/>
  <c r="G44" i="81"/>
  <c r="G13" i="55"/>
  <c r="G70" i="55"/>
  <c r="I235" i="55"/>
  <c r="C45" i="81"/>
  <c r="D45" i="81"/>
  <c r="E45" i="81"/>
  <c r="F45" i="81"/>
  <c r="G45" i="81"/>
  <c r="G14" i="55"/>
  <c r="G71" i="55"/>
  <c r="I236" i="55"/>
  <c r="C46" i="81"/>
  <c r="D46" i="81"/>
  <c r="E46" i="81"/>
  <c r="F46" i="81"/>
  <c r="G46" i="81"/>
  <c r="G15" i="55"/>
  <c r="G72" i="55"/>
  <c r="I237" i="55"/>
  <c r="C47" i="81"/>
  <c r="D47" i="81"/>
  <c r="E47" i="81"/>
  <c r="F47" i="81"/>
  <c r="G47" i="81"/>
  <c r="G16" i="55"/>
  <c r="G73" i="55"/>
  <c r="I238" i="55"/>
  <c r="C48" i="81"/>
  <c r="D48" i="81"/>
  <c r="E48" i="81"/>
  <c r="F48" i="81"/>
  <c r="G48" i="81"/>
  <c r="G17" i="55"/>
  <c r="G74" i="55"/>
  <c r="I239" i="55"/>
  <c r="C49" i="81"/>
  <c r="D49" i="81"/>
  <c r="E49" i="81"/>
  <c r="F49" i="81"/>
  <c r="G49" i="81"/>
  <c r="G18" i="55"/>
  <c r="G75" i="55"/>
  <c r="I240" i="55"/>
  <c r="C50" i="81"/>
  <c r="D50" i="81"/>
  <c r="E50" i="81"/>
  <c r="F50" i="81"/>
  <c r="G50" i="81"/>
  <c r="G19" i="55"/>
  <c r="G76" i="55"/>
  <c r="I241" i="55"/>
  <c r="C51" i="81"/>
  <c r="D51" i="81"/>
  <c r="E51" i="81"/>
  <c r="F51" i="81"/>
  <c r="G51" i="81"/>
  <c r="G20" i="55"/>
  <c r="G77" i="55"/>
  <c r="I242" i="55"/>
  <c r="C52" i="81"/>
  <c r="D52" i="81"/>
  <c r="E52" i="81"/>
  <c r="F52" i="81"/>
  <c r="G52" i="81"/>
  <c r="G21" i="55"/>
  <c r="G78" i="55"/>
  <c r="I243" i="55"/>
  <c r="C53" i="81"/>
  <c r="D53" i="81"/>
  <c r="E53" i="81"/>
  <c r="F53" i="81"/>
  <c r="G53" i="81"/>
  <c r="G22" i="55"/>
  <c r="G79" i="55"/>
  <c r="I244" i="55"/>
  <c r="C54" i="81"/>
  <c r="D54" i="81"/>
  <c r="E54" i="81"/>
  <c r="F54" i="81"/>
  <c r="G54" i="81"/>
  <c r="G23" i="55"/>
  <c r="G80" i="55"/>
  <c r="I245" i="55"/>
  <c r="C55" i="81"/>
  <c r="D55" i="81"/>
  <c r="E55" i="81"/>
  <c r="F55" i="81"/>
  <c r="G55" i="81"/>
  <c r="G24" i="55"/>
  <c r="G81" i="55"/>
  <c r="I246" i="55"/>
  <c r="C56" i="81"/>
  <c r="D56" i="81"/>
  <c r="E56" i="81"/>
  <c r="F56" i="81"/>
  <c r="G56" i="81"/>
  <c r="G25" i="55"/>
  <c r="G82" i="55"/>
  <c r="I247" i="55"/>
  <c r="C57" i="81"/>
  <c r="D57" i="81"/>
  <c r="E57" i="81"/>
  <c r="F57" i="81"/>
  <c r="G57" i="81"/>
  <c r="G26" i="55"/>
  <c r="G83" i="55"/>
  <c r="I248" i="55"/>
  <c r="C58" i="81"/>
  <c r="D58" i="81"/>
  <c r="E58" i="81"/>
  <c r="F58" i="81"/>
  <c r="G58" i="81"/>
  <c r="G27" i="55"/>
  <c r="G84" i="55"/>
  <c r="I249" i="55"/>
  <c r="C59" i="81"/>
  <c r="D59" i="81"/>
  <c r="E59" i="81"/>
  <c r="F59" i="81"/>
  <c r="G59" i="81"/>
  <c r="G28" i="55"/>
  <c r="G85" i="55"/>
  <c r="I250" i="55"/>
  <c r="C60" i="81"/>
  <c r="D60" i="81"/>
  <c r="E60" i="81"/>
  <c r="F60" i="81"/>
  <c r="G60" i="81"/>
  <c r="G29" i="55"/>
  <c r="G86" i="55"/>
  <c r="I251" i="55"/>
  <c r="C61" i="81"/>
  <c r="D61" i="81"/>
  <c r="E61" i="81"/>
  <c r="F61" i="81"/>
  <c r="G61" i="81"/>
  <c r="G30" i="55"/>
  <c r="G87" i="55"/>
  <c r="I252" i="55"/>
  <c r="C62" i="81"/>
  <c r="D62" i="81"/>
  <c r="E62" i="81"/>
  <c r="F62" i="81"/>
  <c r="G62" i="81"/>
  <c r="G31" i="55"/>
  <c r="G88" i="55"/>
  <c r="I253" i="55"/>
  <c r="G32" i="55"/>
  <c r="G89" i="55"/>
  <c r="I254" i="55"/>
  <c r="I255" i="55"/>
  <c r="C44" i="83"/>
  <c r="C46" i="83"/>
  <c r="D44" i="83"/>
  <c r="D46" i="83"/>
  <c r="E44" i="83"/>
  <c r="E46" i="83"/>
  <c r="F44" i="83"/>
  <c r="F46" i="83"/>
  <c r="G44" i="83"/>
  <c r="G46" i="83"/>
  <c r="G35" i="55"/>
  <c r="G92" i="55"/>
  <c r="I257" i="55"/>
  <c r="C47" i="83"/>
  <c r="D47" i="83"/>
  <c r="E47" i="83"/>
  <c r="F47" i="83"/>
  <c r="G47" i="83"/>
  <c r="G36" i="55"/>
  <c r="G93" i="55"/>
  <c r="I258" i="55"/>
  <c r="C48" i="83"/>
  <c r="D48" i="83"/>
  <c r="E48" i="83"/>
  <c r="F48" i="83"/>
  <c r="G48" i="83"/>
  <c r="G37" i="55"/>
  <c r="G94" i="55"/>
  <c r="I259" i="55"/>
  <c r="C49" i="83"/>
  <c r="D49" i="83"/>
  <c r="E49" i="83"/>
  <c r="F49" i="83"/>
  <c r="G49" i="83"/>
  <c r="G38" i="55"/>
  <c r="G95" i="55"/>
  <c r="I260" i="55"/>
  <c r="C50" i="83"/>
  <c r="D50" i="83"/>
  <c r="E50" i="83"/>
  <c r="F50" i="83"/>
  <c r="G50" i="83"/>
  <c r="G39" i="55"/>
  <c r="G96" i="55"/>
  <c r="I261" i="55"/>
  <c r="C51" i="83"/>
  <c r="D51" i="83"/>
  <c r="E51" i="83"/>
  <c r="F51" i="83"/>
  <c r="G51" i="83"/>
  <c r="G40" i="55"/>
  <c r="G97" i="55"/>
  <c r="I262" i="55"/>
  <c r="C52" i="83"/>
  <c r="D52" i="83"/>
  <c r="E52" i="83"/>
  <c r="F52" i="83"/>
  <c r="G52" i="83"/>
  <c r="G41" i="55"/>
  <c r="G98" i="55"/>
  <c r="I263" i="55"/>
  <c r="C53" i="83"/>
  <c r="D53" i="83"/>
  <c r="E53" i="83"/>
  <c r="F53" i="83"/>
  <c r="G53" i="83"/>
  <c r="G42" i="55"/>
  <c r="G99" i="55"/>
  <c r="I264" i="55"/>
  <c r="C54" i="83"/>
  <c r="D54" i="83"/>
  <c r="E54" i="83"/>
  <c r="F54" i="83"/>
  <c r="G54" i="83"/>
  <c r="G43" i="55"/>
  <c r="G100" i="55"/>
  <c r="I265" i="55"/>
  <c r="C55" i="83"/>
  <c r="D55" i="83"/>
  <c r="E55" i="83"/>
  <c r="F55" i="83"/>
  <c r="G55" i="83"/>
  <c r="G44" i="55"/>
  <c r="G101" i="55"/>
  <c r="I266" i="55"/>
  <c r="C56" i="83"/>
  <c r="D56" i="83"/>
  <c r="E56" i="83"/>
  <c r="F56" i="83"/>
  <c r="G56" i="83"/>
  <c r="G45" i="55"/>
  <c r="G102" i="55"/>
  <c r="I267" i="55"/>
  <c r="C57" i="83"/>
  <c r="D57" i="83"/>
  <c r="E57" i="83"/>
  <c r="F57" i="83"/>
  <c r="G57" i="83"/>
  <c r="G46" i="55"/>
  <c r="G103" i="55"/>
  <c r="I268" i="55"/>
  <c r="C58" i="83"/>
  <c r="D58" i="83"/>
  <c r="E58" i="83"/>
  <c r="F58" i="83"/>
  <c r="G58" i="83"/>
  <c r="G47" i="55"/>
  <c r="G104" i="55"/>
  <c r="I269" i="55"/>
  <c r="C59" i="83"/>
  <c r="D59" i="83"/>
  <c r="E59" i="83"/>
  <c r="F59" i="83"/>
  <c r="G59" i="83"/>
  <c r="G48" i="55"/>
  <c r="G105" i="55"/>
  <c r="I270" i="55"/>
  <c r="C60" i="83"/>
  <c r="D60" i="83"/>
  <c r="E60" i="83"/>
  <c r="F60" i="83"/>
  <c r="G60" i="83"/>
  <c r="G49" i="55"/>
  <c r="G106" i="55"/>
  <c r="I271" i="55"/>
  <c r="C61" i="83"/>
  <c r="D61" i="83"/>
  <c r="E61" i="83"/>
  <c r="F61" i="83"/>
  <c r="G61" i="83"/>
  <c r="G50" i="55"/>
  <c r="G107" i="55"/>
  <c r="I272" i="55"/>
  <c r="C62" i="83"/>
  <c r="D62" i="83"/>
  <c r="E62" i="83"/>
  <c r="F62" i="83"/>
  <c r="G62" i="83"/>
  <c r="G51" i="55"/>
  <c r="G108" i="55"/>
  <c r="I273" i="55"/>
  <c r="C63" i="83"/>
  <c r="D63" i="83"/>
  <c r="E63" i="83"/>
  <c r="F63" i="83"/>
  <c r="G63" i="83"/>
  <c r="G52" i="55"/>
  <c r="G109" i="55"/>
  <c r="I274" i="55"/>
  <c r="C67" i="83"/>
  <c r="D67" i="83"/>
  <c r="E67" i="83"/>
  <c r="F67" i="83"/>
  <c r="G67" i="83"/>
  <c r="G56" i="55"/>
  <c r="G113" i="55"/>
  <c r="I275" i="55"/>
  <c r="C68" i="83"/>
  <c r="D68" i="83"/>
  <c r="E68" i="83"/>
  <c r="F68" i="83"/>
  <c r="G68" i="83"/>
  <c r="G57" i="55"/>
  <c r="G114" i="55"/>
  <c r="I276" i="55"/>
  <c r="C69" i="83"/>
  <c r="D69" i="83"/>
  <c r="E69" i="83"/>
  <c r="F69" i="83"/>
  <c r="G69" i="83"/>
  <c r="G58" i="55"/>
  <c r="G115" i="55"/>
  <c r="I277" i="55"/>
  <c r="C70" i="83"/>
  <c r="D70" i="83"/>
  <c r="E70" i="83"/>
  <c r="F70" i="83"/>
  <c r="G70" i="83"/>
  <c r="G59" i="55"/>
  <c r="G116" i="55"/>
  <c r="I278" i="55"/>
  <c r="I279" i="55"/>
  <c r="I280" i="55"/>
  <c r="G33" i="55"/>
  <c r="G10" i="55"/>
  <c r="I282" i="55"/>
  <c r="I283" i="55"/>
  <c r="G120" i="55"/>
  <c r="G121" i="55"/>
  <c r="G122" i="55"/>
  <c r="G123" i="55"/>
  <c r="G124" i="55"/>
  <c r="G125" i="55"/>
  <c r="G126" i="55"/>
  <c r="G127" i="55"/>
  <c r="G128" i="55"/>
  <c r="G129" i="55"/>
  <c r="G130" i="55"/>
  <c r="G131" i="55"/>
  <c r="G132" i="55"/>
  <c r="G133" i="55"/>
  <c r="G134" i="55"/>
  <c r="G135" i="55"/>
  <c r="G136" i="55"/>
  <c r="G137" i="55"/>
  <c r="G138" i="55"/>
  <c r="G139" i="55"/>
  <c r="G140" i="55"/>
  <c r="G141" i="55"/>
  <c r="I284" i="55"/>
  <c r="I285" i="55"/>
  <c r="F11" i="55"/>
  <c r="F63" i="55"/>
  <c r="F68" i="55"/>
  <c r="H233" i="55"/>
  <c r="F12" i="55"/>
  <c r="F69" i="55"/>
  <c r="H234" i="55"/>
  <c r="F13" i="55"/>
  <c r="F70" i="55"/>
  <c r="H235" i="55"/>
  <c r="F14" i="55"/>
  <c r="F71" i="55"/>
  <c r="H236" i="55"/>
  <c r="F15" i="55"/>
  <c r="F72" i="55"/>
  <c r="H237" i="55"/>
  <c r="F16" i="55"/>
  <c r="F73" i="55"/>
  <c r="H238" i="55"/>
  <c r="F17" i="55"/>
  <c r="F74" i="55"/>
  <c r="H239" i="55"/>
  <c r="F18" i="55"/>
  <c r="F75" i="55"/>
  <c r="H240" i="55"/>
  <c r="F19" i="55"/>
  <c r="F76" i="55"/>
  <c r="H241" i="55"/>
  <c r="F20" i="55"/>
  <c r="F77" i="55"/>
  <c r="H242" i="55"/>
  <c r="F21" i="55"/>
  <c r="F78" i="55"/>
  <c r="H243" i="55"/>
  <c r="F22" i="55"/>
  <c r="F79" i="55"/>
  <c r="H244" i="55"/>
  <c r="F23" i="55"/>
  <c r="F80" i="55"/>
  <c r="H245" i="55"/>
  <c r="F24" i="55"/>
  <c r="F81" i="55"/>
  <c r="H246" i="55"/>
  <c r="F25" i="55"/>
  <c r="F82" i="55"/>
  <c r="H247" i="55"/>
  <c r="F26" i="55"/>
  <c r="F83" i="55"/>
  <c r="H248" i="55"/>
  <c r="F27" i="55"/>
  <c r="F84" i="55"/>
  <c r="H249" i="55"/>
  <c r="F28" i="55"/>
  <c r="F85" i="55"/>
  <c r="H250" i="55"/>
  <c r="F29" i="55"/>
  <c r="F86" i="55"/>
  <c r="H251" i="55"/>
  <c r="F30" i="55"/>
  <c r="F87" i="55"/>
  <c r="H252" i="55"/>
  <c r="F31" i="55"/>
  <c r="F88" i="55"/>
  <c r="H253" i="55"/>
  <c r="F32" i="55"/>
  <c r="F89" i="55"/>
  <c r="H254" i="55"/>
  <c r="H255" i="55"/>
  <c r="F35" i="55"/>
  <c r="F92" i="55"/>
  <c r="H257" i="55"/>
  <c r="F36" i="55"/>
  <c r="F93" i="55"/>
  <c r="H258" i="55"/>
  <c r="F37" i="55"/>
  <c r="F94" i="55"/>
  <c r="H259" i="55"/>
  <c r="F38" i="55"/>
  <c r="F95" i="55"/>
  <c r="H260" i="55"/>
  <c r="F39" i="55"/>
  <c r="F96" i="55"/>
  <c r="H261" i="55"/>
  <c r="F40" i="55"/>
  <c r="F97" i="55"/>
  <c r="H262" i="55"/>
  <c r="F41" i="55"/>
  <c r="F98" i="55"/>
  <c r="H263" i="55"/>
  <c r="F42" i="55"/>
  <c r="F99" i="55"/>
  <c r="H264" i="55"/>
  <c r="F43" i="55"/>
  <c r="F100" i="55"/>
  <c r="H265" i="55"/>
  <c r="F44" i="55"/>
  <c r="F101" i="55"/>
  <c r="H266" i="55"/>
  <c r="F45" i="55"/>
  <c r="F102" i="55"/>
  <c r="H267" i="55"/>
  <c r="F46" i="55"/>
  <c r="F103" i="55"/>
  <c r="H268" i="55"/>
  <c r="F47" i="55"/>
  <c r="F104" i="55"/>
  <c r="H269" i="55"/>
  <c r="F48" i="55"/>
  <c r="F105" i="55"/>
  <c r="H270" i="55"/>
  <c r="F49" i="55"/>
  <c r="F106" i="55"/>
  <c r="H271" i="55"/>
  <c r="F50" i="55"/>
  <c r="F107" i="55"/>
  <c r="H272" i="55"/>
  <c r="F51" i="55"/>
  <c r="F108" i="55"/>
  <c r="H273" i="55"/>
  <c r="F52" i="55"/>
  <c r="F109" i="55"/>
  <c r="H274" i="55"/>
  <c r="F56" i="55"/>
  <c r="F113" i="55"/>
  <c r="H275" i="55"/>
  <c r="F57" i="55"/>
  <c r="F114" i="55"/>
  <c r="H276" i="55"/>
  <c r="F58" i="55"/>
  <c r="F115" i="55"/>
  <c r="H277" i="55"/>
  <c r="F59" i="55"/>
  <c r="F116" i="55"/>
  <c r="H278" i="55"/>
  <c r="H279" i="55"/>
  <c r="H280" i="55"/>
  <c r="F33" i="55"/>
  <c r="F10" i="55"/>
  <c r="H282" i="55"/>
  <c r="H283" i="55"/>
  <c r="F120" i="55"/>
  <c r="F121" i="55"/>
  <c r="F122" i="55"/>
  <c r="F123" i="55"/>
  <c r="F124" i="55"/>
  <c r="F125" i="55"/>
  <c r="F126" i="55"/>
  <c r="F127" i="55"/>
  <c r="F128" i="55"/>
  <c r="F129" i="55"/>
  <c r="F130" i="55"/>
  <c r="F131" i="55"/>
  <c r="F132" i="55"/>
  <c r="F133" i="55"/>
  <c r="F134" i="55"/>
  <c r="F135" i="55"/>
  <c r="F136" i="55"/>
  <c r="F137" i="55"/>
  <c r="F138" i="55"/>
  <c r="F139" i="55"/>
  <c r="F140" i="55"/>
  <c r="F141" i="55"/>
  <c r="H284" i="55"/>
  <c r="I16" i="61"/>
  <c r="J7" i="61"/>
  <c r="I289" i="55"/>
  <c r="J16" i="61"/>
  <c r="I290" i="55"/>
  <c r="I292" i="55"/>
  <c r="G18" i="21"/>
  <c r="C65" i="81"/>
  <c r="C77" i="81"/>
  <c r="D65" i="81"/>
  <c r="D77" i="81"/>
  <c r="E65" i="81"/>
  <c r="E77" i="81"/>
  <c r="F65" i="81"/>
  <c r="F77" i="81"/>
  <c r="G65" i="81"/>
  <c r="G77" i="81"/>
  <c r="G23" i="72"/>
  <c r="C33" i="72"/>
  <c r="D33" i="72"/>
  <c r="E33" i="72"/>
  <c r="F33" i="72"/>
  <c r="G33" i="72"/>
  <c r="G34" i="72"/>
  <c r="G47" i="72"/>
  <c r="E133" i="72"/>
  <c r="F133" i="72"/>
  <c r="G133" i="72"/>
  <c r="H133" i="72"/>
  <c r="I133" i="72"/>
  <c r="I152" i="72"/>
  <c r="C68" i="81"/>
  <c r="D68" i="81"/>
  <c r="E68" i="81"/>
  <c r="F68" i="81"/>
  <c r="G68" i="81"/>
  <c r="G14" i="72"/>
  <c r="G38" i="72"/>
  <c r="I153" i="72"/>
  <c r="C72" i="81"/>
  <c r="D72" i="81"/>
  <c r="E72" i="81"/>
  <c r="F72" i="81"/>
  <c r="G72" i="81"/>
  <c r="G18" i="72"/>
  <c r="G42" i="72"/>
  <c r="I154" i="72"/>
  <c r="C70" i="81"/>
  <c r="D70" i="81"/>
  <c r="E70" i="81"/>
  <c r="F70" i="81"/>
  <c r="G70" i="81"/>
  <c r="G16" i="72"/>
  <c r="G40" i="72"/>
  <c r="I155" i="72"/>
  <c r="C67" i="81"/>
  <c r="D67" i="81"/>
  <c r="E67" i="81"/>
  <c r="F67" i="81"/>
  <c r="G67" i="81"/>
  <c r="G13" i="72"/>
  <c r="C69" i="81"/>
  <c r="D69" i="81"/>
  <c r="E69" i="81"/>
  <c r="F69" i="81"/>
  <c r="G69" i="81"/>
  <c r="G15" i="72"/>
  <c r="C71" i="81"/>
  <c r="D71" i="81"/>
  <c r="E71" i="81"/>
  <c r="F71" i="81"/>
  <c r="G71" i="81"/>
  <c r="G17" i="72"/>
  <c r="C73" i="81"/>
  <c r="D73" i="81"/>
  <c r="E73" i="81"/>
  <c r="F73" i="81"/>
  <c r="G73" i="81"/>
  <c r="G19" i="72"/>
  <c r="C74" i="81"/>
  <c r="D74" i="81"/>
  <c r="E74" i="81"/>
  <c r="F74" i="81"/>
  <c r="G74" i="81"/>
  <c r="G20" i="72"/>
  <c r="C75" i="81"/>
  <c r="D75" i="81"/>
  <c r="E75" i="81"/>
  <c r="F75" i="81"/>
  <c r="G75" i="81"/>
  <c r="G21" i="72"/>
  <c r="C76" i="81"/>
  <c r="D76" i="81"/>
  <c r="E76" i="81"/>
  <c r="F76" i="81"/>
  <c r="G76" i="81"/>
  <c r="G22" i="72"/>
  <c r="C78" i="81"/>
  <c r="D78" i="81"/>
  <c r="E78" i="81"/>
  <c r="F78" i="81"/>
  <c r="G78" i="81"/>
  <c r="G24" i="72"/>
  <c r="C79" i="81"/>
  <c r="D79" i="81"/>
  <c r="E79" i="81"/>
  <c r="F79" i="81"/>
  <c r="G79" i="81"/>
  <c r="G25" i="72"/>
  <c r="C80" i="81"/>
  <c r="D80" i="81"/>
  <c r="E80" i="81"/>
  <c r="F80" i="81"/>
  <c r="G80" i="81"/>
  <c r="G26" i="72"/>
  <c r="C81" i="81"/>
  <c r="D81" i="81"/>
  <c r="E81" i="81"/>
  <c r="F81" i="81"/>
  <c r="G81" i="81"/>
  <c r="G27" i="72"/>
  <c r="C82" i="81"/>
  <c r="D82" i="81"/>
  <c r="E82" i="81"/>
  <c r="F82" i="81"/>
  <c r="G82" i="81"/>
  <c r="G28" i="72"/>
  <c r="C83" i="81"/>
  <c r="D83" i="81"/>
  <c r="E83" i="81"/>
  <c r="F83" i="81"/>
  <c r="G83" i="81"/>
  <c r="G29" i="72"/>
  <c r="C84" i="81"/>
  <c r="D84" i="81"/>
  <c r="E84" i="81"/>
  <c r="F84" i="81"/>
  <c r="G84" i="81"/>
  <c r="G30" i="72"/>
  <c r="C85" i="81"/>
  <c r="D85" i="81"/>
  <c r="E85" i="81"/>
  <c r="F85" i="81"/>
  <c r="G85" i="81"/>
  <c r="G31" i="72"/>
  <c r="G32" i="72"/>
  <c r="I156" i="72"/>
  <c r="G12" i="72"/>
  <c r="I157" i="72"/>
  <c r="I158" i="72"/>
  <c r="G35" i="72"/>
  <c r="I159" i="72"/>
  <c r="G78" i="72"/>
  <c r="G95" i="72"/>
  <c r="G63" i="72"/>
  <c r="I160" i="72"/>
  <c r="I161" i="72"/>
  <c r="F23" i="72"/>
  <c r="F34" i="72"/>
  <c r="F47" i="72"/>
  <c r="H152" i="72"/>
  <c r="F14" i="72"/>
  <c r="F38" i="72"/>
  <c r="H153" i="72"/>
  <c r="F18" i="72"/>
  <c r="F42" i="72"/>
  <c r="H154" i="72"/>
  <c r="F16" i="72"/>
  <c r="F40" i="72"/>
  <c r="H155" i="72"/>
  <c r="F13" i="72"/>
  <c r="F15" i="72"/>
  <c r="F17" i="72"/>
  <c r="F19" i="72"/>
  <c r="F20" i="72"/>
  <c r="F21" i="72"/>
  <c r="F22" i="72"/>
  <c r="F24" i="72"/>
  <c r="F25" i="72"/>
  <c r="F26" i="72"/>
  <c r="F27" i="72"/>
  <c r="F28" i="72"/>
  <c r="F29" i="72"/>
  <c r="F30" i="72"/>
  <c r="F31" i="72"/>
  <c r="F32" i="72"/>
  <c r="H156" i="72"/>
  <c r="F12" i="72"/>
  <c r="H157" i="72"/>
  <c r="H158" i="72"/>
  <c r="F35" i="72"/>
  <c r="H159" i="72"/>
  <c r="F78" i="72"/>
  <c r="F95" i="72"/>
  <c r="F63" i="72"/>
  <c r="H160" i="72"/>
  <c r="I17" i="61"/>
  <c r="J8" i="61"/>
  <c r="I166" i="72"/>
  <c r="J17" i="61"/>
  <c r="I167" i="72"/>
  <c r="I169" i="72"/>
  <c r="G19" i="21"/>
  <c r="E18" i="42"/>
  <c r="F18" i="42"/>
  <c r="G18" i="42"/>
  <c r="H18" i="42"/>
  <c r="I18" i="42"/>
  <c r="I28" i="42"/>
  <c r="I29" i="42"/>
  <c r="I30" i="42"/>
  <c r="I35" i="42"/>
  <c r="G20" i="21"/>
  <c r="F23" i="48"/>
  <c r="G23" i="48"/>
  <c r="H23" i="48"/>
  <c r="I23" i="48"/>
  <c r="J23" i="48"/>
  <c r="J43" i="48"/>
  <c r="J44" i="48"/>
  <c r="J49" i="48"/>
  <c r="G21" i="21"/>
  <c r="C90" i="81"/>
  <c r="C92" i="81"/>
  <c r="D90" i="81"/>
  <c r="D92" i="81"/>
  <c r="E90" i="81"/>
  <c r="E92" i="81"/>
  <c r="F90" i="81"/>
  <c r="F92" i="81"/>
  <c r="G90" i="81"/>
  <c r="G92" i="81"/>
  <c r="H9" i="53"/>
  <c r="H62" i="53"/>
  <c r="E124" i="53"/>
  <c r="F124" i="53"/>
  <c r="G124" i="53"/>
  <c r="H124" i="53"/>
  <c r="I124" i="53"/>
  <c r="I197" i="53"/>
  <c r="C93" i="81"/>
  <c r="D93" i="81"/>
  <c r="E93" i="81"/>
  <c r="F93" i="81"/>
  <c r="G93" i="81"/>
  <c r="H10" i="53"/>
  <c r="H63" i="53"/>
  <c r="I198" i="53"/>
  <c r="C94" i="81"/>
  <c r="D94" i="81"/>
  <c r="E94" i="81"/>
  <c r="F94" i="81"/>
  <c r="G94" i="81"/>
  <c r="H11" i="53"/>
  <c r="H64" i="53"/>
  <c r="I199" i="53"/>
  <c r="C95" i="81"/>
  <c r="D95" i="81"/>
  <c r="E95" i="81"/>
  <c r="F95" i="81"/>
  <c r="G95" i="81"/>
  <c r="H12" i="53"/>
  <c r="H65" i="53"/>
  <c r="I200" i="53"/>
  <c r="C96" i="81"/>
  <c r="D96" i="81"/>
  <c r="E96" i="81"/>
  <c r="F96" i="81"/>
  <c r="G96" i="81"/>
  <c r="H13" i="53"/>
  <c r="H66" i="53"/>
  <c r="I201" i="53"/>
  <c r="C97" i="81"/>
  <c r="D97" i="81"/>
  <c r="E97" i="81"/>
  <c r="F97" i="81"/>
  <c r="G97" i="81"/>
  <c r="H14" i="53"/>
  <c r="H67" i="53"/>
  <c r="I202" i="53"/>
  <c r="C98" i="81"/>
  <c r="D98" i="81"/>
  <c r="E98" i="81"/>
  <c r="F98" i="81"/>
  <c r="G98" i="81"/>
  <c r="H15" i="53"/>
  <c r="H68" i="53"/>
  <c r="I203" i="53"/>
  <c r="C99" i="81"/>
  <c r="D99" i="81"/>
  <c r="E99" i="81"/>
  <c r="F99" i="81"/>
  <c r="G99" i="81"/>
  <c r="H16" i="53"/>
  <c r="H69" i="53"/>
  <c r="I204" i="53"/>
  <c r="I205" i="53"/>
  <c r="C101" i="81"/>
  <c r="D101" i="81"/>
  <c r="E101" i="81"/>
  <c r="F101" i="81"/>
  <c r="G101" i="81"/>
  <c r="H18" i="53"/>
  <c r="H71" i="53"/>
  <c r="I206" i="53"/>
  <c r="C102" i="81"/>
  <c r="D102" i="81"/>
  <c r="E102" i="81"/>
  <c r="F102" i="81"/>
  <c r="G102" i="81"/>
  <c r="H19" i="53"/>
  <c r="H72" i="53"/>
  <c r="I207" i="53"/>
  <c r="C103" i="81"/>
  <c r="D103" i="81"/>
  <c r="E103" i="81"/>
  <c r="F103" i="81"/>
  <c r="G103" i="81"/>
  <c r="H20" i="53"/>
  <c r="H73" i="53"/>
  <c r="I208" i="53"/>
  <c r="C104" i="81"/>
  <c r="D104" i="81"/>
  <c r="E104" i="81"/>
  <c r="F104" i="81"/>
  <c r="G104" i="81"/>
  <c r="H21" i="53"/>
  <c r="H74" i="53"/>
  <c r="I209" i="53"/>
  <c r="H22" i="53"/>
  <c r="H75" i="53"/>
  <c r="I210" i="53"/>
  <c r="C106" i="81"/>
  <c r="D106" i="81"/>
  <c r="E106" i="81"/>
  <c r="F106" i="81"/>
  <c r="G106" i="81"/>
  <c r="H23" i="53"/>
  <c r="H76" i="53"/>
  <c r="I211" i="53"/>
  <c r="C107" i="81"/>
  <c r="D107" i="81"/>
  <c r="E107" i="81"/>
  <c r="F107" i="81"/>
  <c r="G107" i="81"/>
  <c r="H24" i="53"/>
  <c r="H77" i="53"/>
  <c r="I212" i="53"/>
  <c r="C108" i="81"/>
  <c r="D108" i="81"/>
  <c r="E108" i="81"/>
  <c r="F108" i="81"/>
  <c r="G108" i="81"/>
  <c r="H25" i="53"/>
  <c r="H78" i="53"/>
  <c r="I213" i="53"/>
  <c r="I214" i="53"/>
  <c r="C110" i="81"/>
  <c r="D110" i="81"/>
  <c r="E110" i="81"/>
  <c r="F110" i="81"/>
  <c r="G110" i="81"/>
  <c r="H27" i="53"/>
  <c r="H80" i="53"/>
  <c r="I215" i="53"/>
  <c r="C111" i="81"/>
  <c r="D111" i="81"/>
  <c r="E111" i="81"/>
  <c r="F111" i="81"/>
  <c r="G111" i="81"/>
  <c r="H28" i="53"/>
  <c r="H81" i="53"/>
  <c r="I216" i="53"/>
  <c r="C112" i="81"/>
  <c r="D112" i="81"/>
  <c r="E112" i="81"/>
  <c r="F112" i="81"/>
  <c r="G112" i="81"/>
  <c r="H29" i="53"/>
  <c r="H82" i="53"/>
  <c r="I217" i="53"/>
  <c r="C113" i="81"/>
  <c r="D113" i="81"/>
  <c r="E113" i="81"/>
  <c r="F113" i="81"/>
  <c r="G113" i="81"/>
  <c r="H30" i="53"/>
  <c r="H83" i="53"/>
  <c r="I218" i="53"/>
  <c r="H31" i="53"/>
  <c r="H84" i="53"/>
  <c r="I219" i="53"/>
  <c r="C100" i="83"/>
  <c r="C102" i="83"/>
  <c r="D100" i="83"/>
  <c r="D102" i="83"/>
  <c r="E100" i="83"/>
  <c r="E102" i="83"/>
  <c r="F100" i="83"/>
  <c r="F102" i="83"/>
  <c r="G100" i="83"/>
  <c r="G102" i="83"/>
  <c r="H33" i="53"/>
  <c r="H86" i="53"/>
  <c r="I221" i="53"/>
  <c r="C103" i="83"/>
  <c r="D103" i="83"/>
  <c r="E103" i="83"/>
  <c r="F103" i="83"/>
  <c r="G103" i="83"/>
  <c r="H34" i="53"/>
  <c r="H87" i="53"/>
  <c r="I222" i="53"/>
  <c r="C104" i="83"/>
  <c r="D104" i="83"/>
  <c r="E104" i="83"/>
  <c r="F104" i="83"/>
  <c r="G104" i="83"/>
  <c r="H35" i="53"/>
  <c r="H88" i="53"/>
  <c r="I223" i="53"/>
  <c r="C105" i="83"/>
  <c r="D105" i="83"/>
  <c r="E105" i="83"/>
  <c r="F105" i="83"/>
  <c r="G105" i="83"/>
  <c r="H36" i="53"/>
  <c r="H89" i="53"/>
  <c r="I224" i="53"/>
  <c r="C106" i="83"/>
  <c r="D106" i="83"/>
  <c r="E106" i="83"/>
  <c r="F106" i="83"/>
  <c r="G106" i="83"/>
  <c r="H37" i="53"/>
  <c r="H90" i="53"/>
  <c r="I225" i="53"/>
  <c r="C107" i="83"/>
  <c r="D107" i="83"/>
  <c r="E107" i="83"/>
  <c r="F107" i="83"/>
  <c r="G107" i="83"/>
  <c r="H38" i="53"/>
  <c r="H91" i="53"/>
  <c r="I226" i="53"/>
  <c r="C108" i="83"/>
  <c r="D108" i="83"/>
  <c r="E108" i="83"/>
  <c r="F108" i="83"/>
  <c r="G108" i="83"/>
  <c r="H39" i="53"/>
  <c r="H92" i="53"/>
  <c r="I227" i="53"/>
  <c r="C109" i="83"/>
  <c r="D109" i="83"/>
  <c r="E109" i="83"/>
  <c r="F109" i="83"/>
  <c r="G109" i="83"/>
  <c r="H40" i="53"/>
  <c r="H93" i="53"/>
  <c r="I228" i="53"/>
  <c r="C110" i="83"/>
  <c r="D110" i="83"/>
  <c r="E110" i="83"/>
  <c r="F110" i="83"/>
  <c r="G110" i="83"/>
  <c r="H41" i="53"/>
  <c r="H94" i="53"/>
  <c r="I229" i="53"/>
  <c r="C111" i="83"/>
  <c r="D111" i="83"/>
  <c r="E111" i="83"/>
  <c r="F111" i="83"/>
  <c r="G111" i="83"/>
  <c r="H42" i="53"/>
  <c r="H95" i="53"/>
  <c r="I230" i="53"/>
  <c r="C112" i="83"/>
  <c r="D112" i="83"/>
  <c r="E112" i="83"/>
  <c r="F112" i="83"/>
  <c r="G112" i="83"/>
  <c r="H43" i="53"/>
  <c r="H96" i="53"/>
  <c r="I231" i="53"/>
  <c r="C113" i="83"/>
  <c r="D113" i="83"/>
  <c r="E113" i="83"/>
  <c r="F113" i="83"/>
  <c r="G113" i="83"/>
  <c r="H44" i="53"/>
  <c r="H97" i="53"/>
  <c r="I232" i="53"/>
  <c r="C114" i="83"/>
  <c r="D114" i="83"/>
  <c r="E114" i="83"/>
  <c r="F114" i="83"/>
  <c r="G114" i="83"/>
  <c r="H45" i="53"/>
  <c r="H98" i="53"/>
  <c r="I233" i="53"/>
  <c r="C115" i="83"/>
  <c r="D115" i="83"/>
  <c r="E115" i="83"/>
  <c r="F115" i="83"/>
  <c r="G115" i="83"/>
  <c r="H46" i="53"/>
  <c r="H99" i="53"/>
  <c r="I234" i="53"/>
  <c r="C116" i="83"/>
  <c r="D116" i="83"/>
  <c r="E116" i="83"/>
  <c r="F116" i="83"/>
  <c r="G116" i="83"/>
  <c r="H47" i="53"/>
  <c r="H100" i="53"/>
  <c r="I235" i="53"/>
  <c r="C117" i="83"/>
  <c r="D117" i="83"/>
  <c r="E117" i="83"/>
  <c r="F117" i="83"/>
  <c r="G117" i="83"/>
  <c r="H48" i="53"/>
  <c r="H101" i="53"/>
  <c r="I236" i="53"/>
  <c r="C118" i="83"/>
  <c r="D118" i="83"/>
  <c r="E118" i="83"/>
  <c r="F118" i="83"/>
  <c r="G118" i="83"/>
  <c r="H49" i="53"/>
  <c r="H102" i="53"/>
  <c r="I237" i="53"/>
  <c r="C119" i="83"/>
  <c r="D119" i="83"/>
  <c r="E119" i="83"/>
  <c r="F119" i="83"/>
  <c r="G119" i="83"/>
  <c r="H50" i="53"/>
  <c r="H103" i="53"/>
  <c r="I238" i="53"/>
  <c r="C123" i="83"/>
  <c r="D123" i="83"/>
  <c r="E123" i="83"/>
  <c r="F123" i="83"/>
  <c r="G123" i="83"/>
  <c r="H54" i="53"/>
  <c r="H107" i="53"/>
  <c r="I239" i="53"/>
  <c r="C124" i="83"/>
  <c r="D124" i="83"/>
  <c r="E124" i="83"/>
  <c r="F124" i="83"/>
  <c r="G124" i="83"/>
  <c r="H55" i="53"/>
  <c r="H108" i="53"/>
  <c r="I240" i="53"/>
  <c r="C125" i="83"/>
  <c r="D125" i="83"/>
  <c r="E125" i="83"/>
  <c r="F125" i="83"/>
  <c r="G125" i="83"/>
  <c r="H56" i="53"/>
  <c r="H109" i="53"/>
  <c r="I241" i="53"/>
  <c r="C126" i="83"/>
  <c r="D126" i="83"/>
  <c r="E126" i="83"/>
  <c r="F126" i="83"/>
  <c r="G126" i="83"/>
  <c r="H57" i="53"/>
  <c r="H110" i="53"/>
  <c r="I242" i="53"/>
  <c r="I243" i="53"/>
  <c r="C120" i="83"/>
  <c r="D120" i="83"/>
  <c r="E120" i="83"/>
  <c r="F120" i="83"/>
  <c r="G120" i="83"/>
  <c r="H51" i="53"/>
  <c r="H104" i="53"/>
  <c r="C121" i="83"/>
  <c r="D121" i="83"/>
  <c r="E121" i="83"/>
  <c r="F121" i="83"/>
  <c r="G121" i="83"/>
  <c r="H52" i="53"/>
  <c r="H105" i="53"/>
  <c r="C122" i="83"/>
  <c r="D122" i="83"/>
  <c r="E122" i="83"/>
  <c r="F122" i="83"/>
  <c r="G122" i="83"/>
  <c r="H53" i="53"/>
  <c r="H106" i="53"/>
  <c r="H114" i="53"/>
  <c r="I245" i="53"/>
  <c r="H115" i="53"/>
  <c r="I246" i="53"/>
  <c r="H116" i="53"/>
  <c r="I247" i="53"/>
  <c r="H118" i="53"/>
  <c r="I250" i="53"/>
  <c r="H119" i="53"/>
  <c r="I251" i="53"/>
  <c r="I253" i="53"/>
  <c r="I254" i="53"/>
  <c r="G9" i="53"/>
  <c r="G62" i="53"/>
  <c r="H197" i="53"/>
  <c r="G10" i="53"/>
  <c r="G63" i="53"/>
  <c r="H198" i="53"/>
  <c r="G11" i="53"/>
  <c r="G64" i="53"/>
  <c r="H199" i="53"/>
  <c r="G12" i="53"/>
  <c r="G65" i="53"/>
  <c r="H200" i="53"/>
  <c r="G13" i="53"/>
  <c r="G66" i="53"/>
  <c r="H201" i="53"/>
  <c r="G14" i="53"/>
  <c r="G67" i="53"/>
  <c r="H202" i="53"/>
  <c r="G15" i="53"/>
  <c r="G68" i="53"/>
  <c r="H203" i="53"/>
  <c r="G16" i="53"/>
  <c r="G69" i="53"/>
  <c r="H204" i="53"/>
  <c r="H205" i="53"/>
  <c r="G18" i="53"/>
  <c r="G71" i="53"/>
  <c r="H206" i="53"/>
  <c r="G19" i="53"/>
  <c r="G72" i="53"/>
  <c r="H207" i="53"/>
  <c r="G20" i="53"/>
  <c r="G73" i="53"/>
  <c r="H208" i="53"/>
  <c r="G21" i="53"/>
  <c r="G74" i="53"/>
  <c r="H209" i="53"/>
  <c r="C105" i="81"/>
  <c r="D105" i="81"/>
  <c r="E105" i="81"/>
  <c r="F105" i="81"/>
  <c r="G22" i="53"/>
  <c r="G75" i="53"/>
  <c r="H210" i="53"/>
  <c r="G23" i="53"/>
  <c r="G76" i="53"/>
  <c r="H211" i="53"/>
  <c r="G24" i="53"/>
  <c r="G77" i="53"/>
  <c r="H212" i="53"/>
  <c r="G25" i="53"/>
  <c r="G78" i="53"/>
  <c r="H213" i="53"/>
  <c r="H214" i="53"/>
  <c r="G27" i="53"/>
  <c r="G80" i="53"/>
  <c r="H215" i="53"/>
  <c r="G28" i="53"/>
  <c r="G81" i="53"/>
  <c r="H216" i="53"/>
  <c r="G29" i="53"/>
  <c r="G82" i="53"/>
  <c r="H217" i="53"/>
  <c r="G30" i="53"/>
  <c r="G83" i="53"/>
  <c r="H218" i="53"/>
  <c r="G31" i="53"/>
  <c r="G84" i="53"/>
  <c r="H219" i="53"/>
  <c r="G33" i="53"/>
  <c r="G86" i="53"/>
  <c r="H221" i="53"/>
  <c r="G34" i="53"/>
  <c r="G87" i="53"/>
  <c r="H222" i="53"/>
  <c r="G35" i="53"/>
  <c r="G88" i="53"/>
  <c r="H223" i="53"/>
  <c r="G36" i="53"/>
  <c r="G89" i="53"/>
  <c r="H224" i="53"/>
  <c r="G37" i="53"/>
  <c r="G90" i="53"/>
  <c r="H225" i="53"/>
  <c r="G38" i="53"/>
  <c r="G91" i="53"/>
  <c r="H226" i="53"/>
  <c r="G39" i="53"/>
  <c r="G92" i="53"/>
  <c r="H227" i="53"/>
  <c r="G40" i="53"/>
  <c r="G93" i="53"/>
  <c r="H228" i="53"/>
  <c r="G41" i="53"/>
  <c r="G94" i="53"/>
  <c r="H229" i="53"/>
  <c r="G42" i="53"/>
  <c r="G95" i="53"/>
  <c r="H230" i="53"/>
  <c r="G43" i="53"/>
  <c r="G96" i="53"/>
  <c r="H231" i="53"/>
  <c r="G44" i="53"/>
  <c r="G97" i="53"/>
  <c r="H232" i="53"/>
  <c r="G45" i="53"/>
  <c r="G98" i="53"/>
  <c r="H233" i="53"/>
  <c r="G46" i="53"/>
  <c r="G99" i="53"/>
  <c r="H234" i="53"/>
  <c r="G47" i="53"/>
  <c r="G100" i="53"/>
  <c r="H235" i="53"/>
  <c r="G48" i="53"/>
  <c r="G101" i="53"/>
  <c r="H236" i="53"/>
  <c r="G49" i="53"/>
  <c r="G102" i="53"/>
  <c r="H237" i="53"/>
  <c r="G50" i="53"/>
  <c r="G103" i="53"/>
  <c r="H238" i="53"/>
  <c r="G54" i="53"/>
  <c r="G107" i="53"/>
  <c r="H239" i="53"/>
  <c r="G55" i="53"/>
  <c r="G108" i="53"/>
  <c r="H240" i="53"/>
  <c r="G56" i="53"/>
  <c r="G109" i="53"/>
  <c r="H241" i="53"/>
  <c r="G57" i="53"/>
  <c r="G110" i="53"/>
  <c r="H242" i="53"/>
  <c r="H243" i="53"/>
  <c r="G51" i="53"/>
  <c r="G104" i="53"/>
  <c r="G52" i="53"/>
  <c r="G105" i="53"/>
  <c r="G53" i="53"/>
  <c r="G106" i="53"/>
  <c r="G114" i="53"/>
  <c r="H245" i="53"/>
  <c r="G115" i="53"/>
  <c r="H246" i="53"/>
  <c r="G116" i="53"/>
  <c r="H247" i="53"/>
  <c r="G118" i="53"/>
  <c r="H250" i="53"/>
  <c r="G119" i="53"/>
  <c r="H251" i="53"/>
  <c r="I15" i="61"/>
  <c r="J6" i="61"/>
  <c r="I259" i="53"/>
  <c r="J15" i="61"/>
  <c r="I260" i="53"/>
  <c r="I262" i="53"/>
  <c r="G22" i="21"/>
  <c r="G23" i="21"/>
  <c r="G25" i="21"/>
  <c r="H22" i="68"/>
  <c r="E56" i="61"/>
  <c r="C30" i="68"/>
  <c r="D9" i="53"/>
  <c r="D62" i="53"/>
  <c r="E130" i="53"/>
  <c r="D10" i="53"/>
  <c r="D63" i="53"/>
  <c r="E131" i="53"/>
  <c r="D11" i="53"/>
  <c r="D64" i="53"/>
  <c r="E132" i="53"/>
  <c r="D12" i="53"/>
  <c r="D65" i="53"/>
  <c r="E133" i="53"/>
  <c r="D13" i="53"/>
  <c r="D66" i="53"/>
  <c r="E134" i="53"/>
  <c r="D14" i="53"/>
  <c r="D67" i="53"/>
  <c r="E135" i="53"/>
  <c r="D15" i="53"/>
  <c r="D68" i="53"/>
  <c r="E136" i="53"/>
  <c r="D16" i="53"/>
  <c r="D69" i="53"/>
  <c r="E137" i="53"/>
  <c r="D18" i="53"/>
  <c r="D71" i="53"/>
  <c r="E139" i="53"/>
  <c r="D19" i="53"/>
  <c r="D72" i="53"/>
  <c r="E140" i="53"/>
  <c r="D20" i="53"/>
  <c r="D73" i="53"/>
  <c r="E141" i="53"/>
  <c r="D21" i="53"/>
  <c r="D74" i="53"/>
  <c r="E142" i="53"/>
  <c r="D22" i="53"/>
  <c r="D75" i="53"/>
  <c r="E143" i="53"/>
  <c r="D23" i="53"/>
  <c r="D76" i="53"/>
  <c r="E144" i="53"/>
  <c r="D24" i="53"/>
  <c r="D77" i="53"/>
  <c r="E145" i="53"/>
  <c r="D25" i="53"/>
  <c r="D78" i="53"/>
  <c r="E146" i="53"/>
  <c r="D27" i="53"/>
  <c r="D80" i="53"/>
  <c r="E148" i="53"/>
  <c r="D28" i="53"/>
  <c r="D81" i="53"/>
  <c r="E149" i="53"/>
  <c r="D29" i="53"/>
  <c r="D82" i="53"/>
  <c r="E150" i="53"/>
  <c r="D30" i="53"/>
  <c r="D83" i="53"/>
  <c r="E151" i="53"/>
  <c r="D31" i="53"/>
  <c r="D84" i="53"/>
  <c r="E152" i="53"/>
  <c r="D33" i="53"/>
  <c r="D86" i="53"/>
  <c r="E154" i="53"/>
  <c r="D34" i="53"/>
  <c r="D87" i="53"/>
  <c r="E155" i="53"/>
  <c r="D35" i="53"/>
  <c r="D88" i="53"/>
  <c r="E156" i="53"/>
  <c r="D36" i="53"/>
  <c r="D89" i="53"/>
  <c r="E157" i="53"/>
  <c r="D37" i="53"/>
  <c r="D90" i="53"/>
  <c r="E158" i="53"/>
  <c r="D38" i="53"/>
  <c r="D91" i="53"/>
  <c r="E159" i="53"/>
  <c r="D39" i="53"/>
  <c r="D92" i="53"/>
  <c r="E160" i="53"/>
  <c r="D40" i="53"/>
  <c r="D93" i="53"/>
  <c r="E161" i="53"/>
  <c r="D41" i="53"/>
  <c r="D94" i="53"/>
  <c r="E162" i="53"/>
  <c r="D42" i="53"/>
  <c r="D95" i="53"/>
  <c r="E163" i="53"/>
  <c r="D43" i="53"/>
  <c r="D96" i="53"/>
  <c r="E164" i="53"/>
  <c r="D44" i="53"/>
  <c r="D97" i="53"/>
  <c r="E165" i="53"/>
  <c r="D45" i="53"/>
  <c r="D98" i="53"/>
  <c r="E166" i="53"/>
  <c r="D46" i="53"/>
  <c r="D99" i="53"/>
  <c r="E167" i="53"/>
  <c r="D47" i="53"/>
  <c r="D100" i="53"/>
  <c r="E168" i="53"/>
  <c r="D48" i="53"/>
  <c r="D101" i="53"/>
  <c r="E169" i="53"/>
  <c r="D49" i="53"/>
  <c r="D102" i="53"/>
  <c r="E170" i="53"/>
  <c r="D50" i="53"/>
  <c r="D103" i="53"/>
  <c r="E171" i="53"/>
  <c r="D51" i="53"/>
  <c r="D104" i="53"/>
  <c r="E172" i="53"/>
  <c r="D52" i="53"/>
  <c r="D105" i="53"/>
  <c r="E173" i="53"/>
  <c r="D53" i="53"/>
  <c r="D106" i="53"/>
  <c r="E174" i="53"/>
  <c r="D54" i="53"/>
  <c r="D107" i="53"/>
  <c r="E175" i="53"/>
  <c r="D55" i="53"/>
  <c r="D108" i="53"/>
  <c r="E176" i="53"/>
  <c r="D56" i="53"/>
  <c r="D109" i="53"/>
  <c r="E177" i="53"/>
  <c r="D57" i="53"/>
  <c r="D110" i="53"/>
  <c r="E178" i="53"/>
  <c r="D114" i="53"/>
  <c r="E182" i="53"/>
  <c r="D115" i="53"/>
  <c r="E183" i="53"/>
  <c r="D116" i="53"/>
  <c r="E184" i="53"/>
  <c r="D118" i="53"/>
  <c r="E187" i="53"/>
  <c r="D119" i="53"/>
  <c r="E188" i="53"/>
  <c r="E191" i="53"/>
  <c r="F34" i="61"/>
  <c r="F28" i="48"/>
  <c r="F29" i="48"/>
  <c r="F30" i="48"/>
  <c r="F31" i="48"/>
  <c r="F32" i="48"/>
  <c r="F33" i="48"/>
  <c r="F34" i="48"/>
  <c r="F35" i="48"/>
  <c r="F36" i="48"/>
  <c r="F37" i="48"/>
  <c r="F38" i="48"/>
  <c r="F39" i="48"/>
  <c r="F35" i="61"/>
  <c r="C11" i="55"/>
  <c r="C63" i="55"/>
  <c r="C68" i="55"/>
  <c r="C120" i="55"/>
  <c r="E178" i="55"/>
  <c r="C12" i="55"/>
  <c r="C69" i="55"/>
  <c r="C121" i="55"/>
  <c r="E179" i="55"/>
  <c r="C13" i="55"/>
  <c r="C70" i="55"/>
  <c r="C122" i="55"/>
  <c r="E180" i="55"/>
  <c r="C14" i="55"/>
  <c r="C71" i="55"/>
  <c r="C123" i="55"/>
  <c r="E181" i="55"/>
  <c r="C15" i="55"/>
  <c r="C72" i="55"/>
  <c r="C124" i="55"/>
  <c r="E182" i="55"/>
  <c r="C16" i="55"/>
  <c r="C73" i="55"/>
  <c r="C125" i="55"/>
  <c r="E183" i="55"/>
  <c r="C17" i="55"/>
  <c r="C74" i="55"/>
  <c r="C126" i="55"/>
  <c r="E184" i="55"/>
  <c r="C18" i="55"/>
  <c r="C75" i="55"/>
  <c r="C127" i="55"/>
  <c r="E185" i="55"/>
  <c r="C19" i="55"/>
  <c r="C76" i="55"/>
  <c r="C128" i="55"/>
  <c r="E186" i="55"/>
  <c r="C20" i="55"/>
  <c r="C77" i="55"/>
  <c r="C129" i="55"/>
  <c r="E187" i="55"/>
  <c r="C21" i="55"/>
  <c r="C78" i="55"/>
  <c r="C130" i="55"/>
  <c r="E188" i="55"/>
  <c r="C22" i="55"/>
  <c r="C79" i="55"/>
  <c r="C131" i="55"/>
  <c r="E189" i="55"/>
  <c r="C23" i="55"/>
  <c r="C80" i="55"/>
  <c r="C132" i="55"/>
  <c r="E190" i="55"/>
  <c r="C24" i="55"/>
  <c r="C81" i="55"/>
  <c r="C133" i="55"/>
  <c r="E191" i="55"/>
  <c r="C25" i="55"/>
  <c r="C82" i="55"/>
  <c r="C134" i="55"/>
  <c r="E192" i="55"/>
  <c r="C26" i="55"/>
  <c r="C83" i="55"/>
  <c r="C135" i="55"/>
  <c r="E193" i="55"/>
  <c r="C27" i="55"/>
  <c r="C84" i="55"/>
  <c r="C136" i="55"/>
  <c r="E194" i="55"/>
  <c r="C28" i="55"/>
  <c r="C85" i="55"/>
  <c r="C137" i="55"/>
  <c r="E195" i="55"/>
  <c r="C29" i="55"/>
  <c r="C86" i="55"/>
  <c r="C138" i="55"/>
  <c r="E196" i="55"/>
  <c r="C30" i="55"/>
  <c r="C87" i="55"/>
  <c r="C139" i="55"/>
  <c r="E197" i="55"/>
  <c r="C31" i="55"/>
  <c r="C88" i="55"/>
  <c r="C140" i="55"/>
  <c r="E198" i="55"/>
  <c r="C32" i="55"/>
  <c r="C89" i="55"/>
  <c r="C141" i="55"/>
  <c r="E199" i="55"/>
  <c r="C33" i="55"/>
  <c r="C65" i="55"/>
  <c r="E200" i="55"/>
  <c r="C35" i="55"/>
  <c r="C92" i="55"/>
  <c r="C144" i="55"/>
  <c r="E203" i="55"/>
  <c r="C36" i="55"/>
  <c r="C93" i="55"/>
  <c r="C145" i="55"/>
  <c r="E204" i="55"/>
  <c r="C37" i="55"/>
  <c r="C94" i="55"/>
  <c r="C146" i="55"/>
  <c r="E205" i="55"/>
  <c r="C38" i="55"/>
  <c r="C95" i="55"/>
  <c r="C147" i="55"/>
  <c r="E206" i="55"/>
  <c r="C39" i="55"/>
  <c r="C96" i="55"/>
  <c r="C148" i="55"/>
  <c r="E207" i="55"/>
  <c r="C40" i="55"/>
  <c r="C97" i="55"/>
  <c r="C149" i="55"/>
  <c r="E208" i="55"/>
  <c r="C41" i="55"/>
  <c r="C98" i="55"/>
  <c r="C150" i="55"/>
  <c r="E209" i="55"/>
  <c r="C42" i="55"/>
  <c r="C99" i="55"/>
  <c r="C151" i="55"/>
  <c r="E210" i="55"/>
  <c r="C43" i="55"/>
  <c r="C100" i="55"/>
  <c r="C152" i="55"/>
  <c r="E211" i="55"/>
  <c r="C44" i="55"/>
  <c r="C101" i="55"/>
  <c r="C153" i="55"/>
  <c r="E212" i="55"/>
  <c r="C45" i="55"/>
  <c r="C102" i="55"/>
  <c r="C154" i="55"/>
  <c r="E213" i="55"/>
  <c r="C46" i="55"/>
  <c r="C103" i="55"/>
  <c r="C155" i="55"/>
  <c r="E214" i="55"/>
  <c r="C47" i="55"/>
  <c r="C104" i="55"/>
  <c r="C156" i="55"/>
  <c r="E215" i="55"/>
  <c r="C48" i="55"/>
  <c r="C105" i="55"/>
  <c r="C157" i="55"/>
  <c r="E216" i="55"/>
  <c r="C49" i="55"/>
  <c r="C106" i="55"/>
  <c r="C158" i="55"/>
  <c r="E217" i="55"/>
  <c r="C50" i="55"/>
  <c r="C107" i="55"/>
  <c r="C159" i="55"/>
  <c r="E218" i="55"/>
  <c r="C51" i="55"/>
  <c r="C108" i="55"/>
  <c r="C160" i="55"/>
  <c r="E219" i="55"/>
  <c r="C52" i="55"/>
  <c r="C109" i="55"/>
  <c r="C161" i="55"/>
  <c r="E220" i="55"/>
  <c r="C162" i="55"/>
  <c r="E221" i="55"/>
  <c r="C163" i="55"/>
  <c r="E222" i="55"/>
  <c r="C164" i="55"/>
  <c r="E223" i="55"/>
  <c r="C56" i="55"/>
  <c r="C113" i="55"/>
  <c r="C165" i="55"/>
  <c r="E224" i="55"/>
  <c r="C57" i="55"/>
  <c r="C114" i="55"/>
  <c r="C166" i="55"/>
  <c r="E225" i="55"/>
  <c r="C58" i="55"/>
  <c r="C115" i="55"/>
  <c r="C167" i="55"/>
  <c r="E226" i="55"/>
  <c r="C59" i="55"/>
  <c r="C116" i="55"/>
  <c r="C168" i="55"/>
  <c r="E227" i="55"/>
  <c r="E229" i="55"/>
  <c r="F36" i="61"/>
  <c r="C23" i="72"/>
  <c r="C34" i="72"/>
  <c r="C47" i="72"/>
  <c r="C95" i="72"/>
  <c r="E139" i="72"/>
  <c r="C14" i="72"/>
  <c r="C38" i="72"/>
  <c r="C63" i="72"/>
  <c r="E140" i="72"/>
  <c r="C18" i="72"/>
  <c r="C42" i="72"/>
  <c r="C78" i="72"/>
  <c r="E141" i="72"/>
  <c r="C16" i="72"/>
  <c r="C40" i="72"/>
  <c r="C70" i="72"/>
  <c r="E142" i="72"/>
  <c r="E144" i="72"/>
  <c r="C13" i="72"/>
  <c r="C15" i="72"/>
  <c r="C17" i="72"/>
  <c r="C19" i="72"/>
  <c r="C20" i="72"/>
  <c r="C21" i="72"/>
  <c r="C22" i="72"/>
  <c r="C24" i="72"/>
  <c r="C25" i="72"/>
  <c r="C26" i="72"/>
  <c r="C27" i="72"/>
  <c r="C28" i="72"/>
  <c r="C29" i="72"/>
  <c r="C30" i="72"/>
  <c r="C31" i="72"/>
  <c r="C32" i="72"/>
  <c r="C35" i="72"/>
  <c r="E146" i="72"/>
  <c r="E148" i="72"/>
  <c r="F37" i="61"/>
  <c r="C10" i="42"/>
  <c r="C11" i="42"/>
  <c r="E22" i="42"/>
  <c r="E24" i="42"/>
  <c r="F38" i="61"/>
  <c r="C95" i="83"/>
  <c r="C34" i="84"/>
  <c r="C62" i="84"/>
  <c r="C124" i="84"/>
  <c r="C141" i="84"/>
  <c r="E149" i="84"/>
  <c r="E154" i="84"/>
  <c r="C125" i="84"/>
  <c r="C142" i="84"/>
  <c r="E155" i="84"/>
  <c r="C126" i="84"/>
  <c r="C143" i="84"/>
  <c r="E156" i="84"/>
  <c r="E159" i="84"/>
  <c r="F39" i="61"/>
  <c r="F41" i="61"/>
  <c r="E197" i="53"/>
  <c r="E198" i="53"/>
  <c r="E199" i="53"/>
  <c r="E200" i="53"/>
  <c r="E201" i="53"/>
  <c r="E202" i="53"/>
  <c r="E203" i="53"/>
  <c r="E204" i="53"/>
  <c r="E205" i="53"/>
  <c r="E206" i="53"/>
  <c r="E207" i="53"/>
  <c r="E208" i="53"/>
  <c r="E209" i="53"/>
  <c r="E210" i="53"/>
  <c r="E211" i="53"/>
  <c r="E212" i="53"/>
  <c r="E213" i="53"/>
  <c r="E214" i="53"/>
  <c r="E215" i="53"/>
  <c r="E216" i="53"/>
  <c r="E217" i="53"/>
  <c r="E218" i="53"/>
  <c r="E219" i="53"/>
  <c r="E221" i="53"/>
  <c r="E222" i="53"/>
  <c r="E223" i="53"/>
  <c r="E224" i="53"/>
  <c r="E225" i="53"/>
  <c r="E226" i="53"/>
  <c r="E227" i="53"/>
  <c r="E228" i="53"/>
  <c r="E229" i="53"/>
  <c r="E230" i="53"/>
  <c r="E231" i="53"/>
  <c r="E232" i="53"/>
  <c r="E233" i="53"/>
  <c r="E234" i="53"/>
  <c r="E235" i="53"/>
  <c r="E236" i="53"/>
  <c r="E237" i="53"/>
  <c r="E238" i="53"/>
  <c r="E239" i="53"/>
  <c r="E240" i="53"/>
  <c r="E241" i="53"/>
  <c r="E242" i="53"/>
  <c r="E243" i="53"/>
  <c r="E245" i="53"/>
  <c r="E246" i="53"/>
  <c r="E247" i="53"/>
  <c r="E250" i="53"/>
  <c r="E251" i="53"/>
  <c r="F15" i="61"/>
  <c r="E233" i="55"/>
  <c r="E234" i="55"/>
  <c r="E235" i="55"/>
  <c r="E236" i="55"/>
  <c r="E237" i="55"/>
  <c r="E238" i="55"/>
  <c r="E239" i="55"/>
  <c r="E240" i="55"/>
  <c r="E241" i="55"/>
  <c r="E242" i="55"/>
  <c r="E243" i="55"/>
  <c r="E244" i="55"/>
  <c r="E245" i="55"/>
  <c r="E246" i="55"/>
  <c r="E247" i="55"/>
  <c r="E248" i="55"/>
  <c r="E249" i="55"/>
  <c r="E250" i="55"/>
  <c r="E251" i="55"/>
  <c r="E252" i="55"/>
  <c r="E253" i="55"/>
  <c r="E254" i="55"/>
  <c r="E255" i="55"/>
  <c r="E257" i="55"/>
  <c r="E258" i="55"/>
  <c r="E259" i="55"/>
  <c r="E260" i="55"/>
  <c r="E261" i="55"/>
  <c r="E262" i="55"/>
  <c r="E263" i="55"/>
  <c r="E264" i="55"/>
  <c r="E265" i="55"/>
  <c r="E266" i="55"/>
  <c r="E267" i="55"/>
  <c r="E268" i="55"/>
  <c r="E269" i="55"/>
  <c r="E270" i="55"/>
  <c r="E271" i="55"/>
  <c r="E272" i="55"/>
  <c r="E273" i="55"/>
  <c r="E274" i="55"/>
  <c r="E275" i="55"/>
  <c r="E276" i="55"/>
  <c r="E277" i="55"/>
  <c r="E278" i="55"/>
  <c r="E279" i="55"/>
  <c r="E280" i="55"/>
  <c r="C10" i="55"/>
  <c r="E282" i="55"/>
  <c r="E283" i="55"/>
  <c r="E284" i="55"/>
  <c r="F16" i="61"/>
  <c r="E152" i="72"/>
  <c r="E153" i="72"/>
  <c r="E154" i="72"/>
  <c r="E155" i="72"/>
  <c r="E156" i="72"/>
  <c r="C12" i="72"/>
  <c r="E157" i="72"/>
  <c r="E158" i="72"/>
  <c r="E159" i="72"/>
  <c r="E160" i="72"/>
  <c r="F17" i="61"/>
  <c r="E163" i="84"/>
  <c r="E164" i="84"/>
  <c r="C74" i="83"/>
  <c r="C13" i="84"/>
  <c r="C75" i="83"/>
  <c r="C14" i="84"/>
  <c r="C76" i="83"/>
  <c r="C15" i="84"/>
  <c r="C77" i="83"/>
  <c r="C16" i="84"/>
  <c r="C78" i="83"/>
  <c r="C17" i="84"/>
  <c r="C79" i="83"/>
  <c r="C18" i="84"/>
  <c r="C80" i="83"/>
  <c r="C19" i="84"/>
  <c r="C81" i="83"/>
  <c r="C20" i="84"/>
  <c r="C82" i="83"/>
  <c r="C21" i="84"/>
  <c r="C22" i="84"/>
  <c r="C84" i="83"/>
  <c r="C23" i="84"/>
  <c r="C85" i="83"/>
  <c r="C24" i="84"/>
  <c r="C86" i="83"/>
  <c r="C25" i="84"/>
  <c r="C87" i="83"/>
  <c r="C26" i="84"/>
  <c r="C88" i="83"/>
  <c r="C27" i="84"/>
  <c r="C89" i="83"/>
  <c r="C28" i="84"/>
  <c r="C90" i="83"/>
  <c r="C29" i="84"/>
  <c r="C91" i="83"/>
  <c r="C30" i="84"/>
  <c r="C92" i="83"/>
  <c r="C31" i="84"/>
  <c r="C93" i="83"/>
  <c r="C32" i="84"/>
  <c r="C94" i="83"/>
  <c r="C33" i="84"/>
  <c r="C96" i="83"/>
  <c r="C35" i="84"/>
  <c r="C97" i="83"/>
  <c r="C36" i="84"/>
  <c r="C98" i="83"/>
  <c r="C37" i="84"/>
  <c r="C39" i="84"/>
  <c r="C12" i="84"/>
  <c r="E165" i="84"/>
  <c r="E166" i="84"/>
  <c r="E167" i="84"/>
  <c r="E168" i="84"/>
  <c r="F18" i="61"/>
  <c r="F21" i="61"/>
  <c r="F42" i="61"/>
  <c r="F44" i="61"/>
  <c r="E253" i="53"/>
  <c r="E254" i="53"/>
  <c r="F6" i="61"/>
  <c r="E259" i="53"/>
  <c r="E260" i="53"/>
  <c r="E262" i="53"/>
  <c r="F47" i="61"/>
  <c r="F43" i="48"/>
  <c r="F44" i="48"/>
  <c r="F49" i="48"/>
  <c r="F48" i="61"/>
  <c r="E285" i="55"/>
  <c r="F7" i="61"/>
  <c r="E289" i="55"/>
  <c r="E290" i="55"/>
  <c r="E292" i="55"/>
  <c r="F49" i="61"/>
  <c r="E161" i="72"/>
  <c r="F8" i="61"/>
  <c r="E166" i="72"/>
  <c r="E167" i="72"/>
  <c r="E169" i="72"/>
  <c r="F50" i="61"/>
  <c r="E28" i="42"/>
  <c r="E29" i="42"/>
  <c r="E30" i="42"/>
  <c r="E35" i="42"/>
  <c r="F51" i="61"/>
  <c r="F52" i="61"/>
  <c r="F54" i="61"/>
  <c r="F55" i="61"/>
  <c r="F56" i="61"/>
  <c r="D30" i="68"/>
  <c r="E9" i="53"/>
  <c r="E62" i="53"/>
  <c r="F130" i="53"/>
  <c r="E10" i="53"/>
  <c r="E63" i="53"/>
  <c r="F131" i="53"/>
  <c r="E11" i="53"/>
  <c r="E64" i="53"/>
  <c r="F132" i="53"/>
  <c r="E12" i="53"/>
  <c r="E65" i="53"/>
  <c r="F133" i="53"/>
  <c r="E13" i="53"/>
  <c r="E66" i="53"/>
  <c r="F134" i="53"/>
  <c r="E14" i="53"/>
  <c r="E67" i="53"/>
  <c r="F135" i="53"/>
  <c r="E15" i="53"/>
  <c r="E68" i="53"/>
  <c r="F136" i="53"/>
  <c r="E16" i="53"/>
  <c r="E69" i="53"/>
  <c r="F137" i="53"/>
  <c r="E18" i="53"/>
  <c r="E71" i="53"/>
  <c r="F139" i="53"/>
  <c r="E19" i="53"/>
  <c r="E72" i="53"/>
  <c r="F140" i="53"/>
  <c r="E20" i="53"/>
  <c r="E73" i="53"/>
  <c r="F141" i="53"/>
  <c r="E21" i="53"/>
  <c r="E74" i="53"/>
  <c r="F142" i="53"/>
  <c r="E22" i="53"/>
  <c r="E75" i="53"/>
  <c r="F143" i="53"/>
  <c r="E23" i="53"/>
  <c r="E76" i="53"/>
  <c r="F144" i="53"/>
  <c r="E24" i="53"/>
  <c r="E77" i="53"/>
  <c r="F145" i="53"/>
  <c r="E25" i="53"/>
  <c r="E78" i="53"/>
  <c r="F146" i="53"/>
  <c r="E27" i="53"/>
  <c r="E80" i="53"/>
  <c r="F148" i="53"/>
  <c r="E28" i="53"/>
  <c r="E81" i="53"/>
  <c r="F149" i="53"/>
  <c r="E29" i="53"/>
  <c r="E82" i="53"/>
  <c r="F150" i="53"/>
  <c r="E30" i="53"/>
  <c r="E83" i="53"/>
  <c r="F151" i="53"/>
  <c r="E31" i="53"/>
  <c r="E84" i="53"/>
  <c r="F152" i="53"/>
  <c r="E33" i="53"/>
  <c r="E86" i="53"/>
  <c r="F154" i="53"/>
  <c r="E34" i="53"/>
  <c r="E87" i="53"/>
  <c r="F155" i="53"/>
  <c r="E35" i="53"/>
  <c r="E88" i="53"/>
  <c r="F156" i="53"/>
  <c r="E36" i="53"/>
  <c r="E89" i="53"/>
  <c r="F157" i="53"/>
  <c r="E37" i="53"/>
  <c r="E90" i="53"/>
  <c r="F158" i="53"/>
  <c r="E38" i="53"/>
  <c r="E91" i="53"/>
  <c r="F159" i="53"/>
  <c r="E39" i="53"/>
  <c r="E92" i="53"/>
  <c r="F160" i="53"/>
  <c r="E40" i="53"/>
  <c r="E93" i="53"/>
  <c r="F161" i="53"/>
  <c r="E41" i="53"/>
  <c r="E94" i="53"/>
  <c r="F162" i="53"/>
  <c r="E42" i="53"/>
  <c r="E95" i="53"/>
  <c r="F163" i="53"/>
  <c r="E43" i="53"/>
  <c r="E96" i="53"/>
  <c r="F164" i="53"/>
  <c r="E44" i="53"/>
  <c r="E97" i="53"/>
  <c r="F165" i="53"/>
  <c r="E45" i="53"/>
  <c r="E98" i="53"/>
  <c r="F166" i="53"/>
  <c r="E46" i="53"/>
  <c r="E99" i="53"/>
  <c r="F167" i="53"/>
  <c r="E47" i="53"/>
  <c r="E100" i="53"/>
  <c r="F168" i="53"/>
  <c r="E48" i="53"/>
  <c r="E101" i="53"/>
  <c r="F169" i="53"/>
  <c r="E49" i="53"/>
  <c r="E102" i="53"/>
  <c r="F170" i="53"/>
  <c r="E50" i="53"/>
  <c r="E103" i="53"/>
  <c r="F171" i="53"/>
  <c r="E51" i="53"/>
  <c r="E104" i="53"/>
  <c r="F172" i="53"/>
  <c r="E52" i="53"/>
  <c r="E105" i="53"/>
  <c r="F173" i="53"/>
  <c r="E53" i="53"/>
  <c r="E106" i="53"/>
  <c r="F174" i="53"/>
  <c r="E54" i="53"/>
  <c r="E107" i="53"/>
  <c r="F175" i="53"/>
  <c r="E55" i="53"/>
  <c r="E108" i="53"/>
  <c r="F176" i="53"/>
  <c r="E56" i="53"/>
  <c r="E109" i="53"/>
  <c r="F177" i="53"/>
  <c r="E57" i="53"/>
  <c r="E110" i="53"/>
  <c r="F178" i="53"/>
  <c r="E114" i="53"/>
  <c r="F182" i="53"/>
  <c r="E115" i="53"/>
  <c r="F183" i="53"/>
  <c r="E116" i="53"/>
  <c r="F184" i="53"/>
  <c r="E118" i="53"/>
  <c r="F187" i="53"/>
  <c r="E119" i="53"/>
  <c r="F188" i="53"/>
  <c r="F191" i="53"/>
  <c r="G34" i="61"/>
  <c r="G28" i="48"/>
  <c r="G29" i="48"/>
  <c r="G30" i="48"/>
  <c r="G31" i="48"/>
  <c r="G32" i="48"/>
  <c r="G33" i="48"/>
  <c r="G34" i="48"/>
  <c r="G35" i="48"/>
  <c r="G36" i="48"/>
  <c r="G37" i="48"/>
  <c r="G38" i="48"/>
  <c r="G39" i="48"/>
  <c r="G35" i="61"/>
  <c r="D11" i="55"/>
  <c r="D63" i="55"/>
  <c r="D68" i="55"/>
  <c r="D120" i="55"/>
  <c r="F178" i="55"/>
  <c r="D12" i="55"/>
  <c r="D69" i="55"/>
  <c r="D121" i="55"/>
  <c r="F179" i="55"/>
  <c r="D13" i="55"/>
  <c r="D70" i="55"/>
  <c r="D122" i="55"/>
  <c r="F180" i="55"/>
  <c r="D14" i="55"/>
  <c r="D71" i="55"/>
  <c r="D123" i="55"/>
  <c r="F181" i="55"/>
  <c r="D15" i="55"/>
  <c r="D72" i="55"/>
  <c r="D124" i="55"/>
  <c r="F182" i="55"/>
  <c r="D16" i="55"/>
  <c r="D73" i="55"/>
  <c r="D125" i="55"/>
  <c r="F183" i="55"/>
  <c r="D17" i="55"/>
  <c r="D74" i="55"/>
  <c r="D126" i="55"/>
  <c r="F184" i="55"/>
  <c r="D18" i="55"/>
  <c r="D75" i="55"/>
  <c r="D127" i="55"/>
  <c r="F185" i="55"/>
  <c r="D19" i="55"/>
  <c r="D76" i="55"/>
  <c r="D128" i="55"/>
  <c r="F186" i="55"/>
  <c r="D20" i="55"/>
  <c r="D77" i="55"/>
  <c r="D129" i="55"/>
  <c r="F187" i="55"/>
  <c r="D21" i="55"/>
  <c r="D78" i="55"/>
  <c r="D130" i="55"/>
  <c r="F188" i="55"/>
  <c r="D22" i="55"/>
  <c r="D79" i="55"/>
  <c r="D131" i="55"/>
  <c r="F189" i="55"/>
  <c r="D23" i="55"/>
  <c r="D80" i="55"/>
  <c r="D132" i="55"/>
  <c r="F190" i="55"/>
  <c r="D24" i="55"/>
  <c r="D81" i="55"/>
  <c r="D133" i="55"/>
  <c r="F191" i="55"/>
  <c r="D25" i="55"/>
  <c r="D82" i="55"/>
  <c r="D134" i="55"/>
  <c r="F192" i="55"/>
  <c r="D26" i="55"/>
  <c r="D83" i="55"/>
  <c r="D135" i="55"/>
  <c r="F193" i="55"/>
  <c r="D27" i="55"/>
  <c r="D84" i="55"/>
  <c r="D136" i="55"/>
  <c r="F194" i="55"/>
  <c r="D28" i="55"/>
  <c r="D85" i="55"/>
  <c r="D137" i="55"/>
  <c r="F195" i="55"/>
  <c r="D29" i="55"/>
  <c r="D86" i="55"/>
  <c r="D138" i="55"/>
  <c r="F196" i="55"/>
  <c r="D30" i="55"/>
  <c r="D87" i="55"/>
  <c r="D139" i="55"/>
  <c r="F197" i="55"/>
  <c r="D31" i="55"/>
  <c r="D88" i="55"/>
  <c r="D140" i="55"/>
  <c r="F198" i="55"/>
  <c r="D32" i="55"/>
  <c r="D89" i="55"/>
  <c r="D141" i="55"/>
  <c r="F199" i="55"/>
  <c r="D33" i="55"/>
  <c r="D65" i="55"/>
  <c r="F200" i="55"/>
  <c r="D35" i="55"/>
  <c r="D92" i="55"/>
  <c r="D144" i="55"/>
  <c r="F203" i="55"/>
  <c r="D36" i="55"/>
  <c r="D93" i="55"/>
  <c r="D145" i="55"/>
  <c r="F204" i="55"/>
  <c r="D37" i="55"/>
  <c r="D94" i="55"/>
  <c r="D146" i="55"/>
  <c r="F205" i="55"/>
  <c r="D38" i="55"/>
  <c r="D95" i="55"/>
  <c r="D147" i="55"/>
  <c r="F206" i="55"/>
  <c r="D39" i="55"/>
  <c r="D96" i="55"/>
  <c r="D148" i="55"/>
  <c r="F207" i="55"/>
  <c r="D40" i="55"/>
  <c r="D97" i="55"/>
  <c r="D149" i="55"/>
  <c r="F208" i="55"/>
  <c r="D41" i="55"/>
  <c r="D98" i="55"/>
  <c r="D150" i="55"/>
  <c r="F209" i="55"/>
  <c r="D42" i="55"/>
  <c r="D99" i="55"/>
  <c r="D151" i="55"/>
  <c r="F210" i="55"/>
  <c r="D43" i="55"/>
  <c r="D100" i="55"/>
  <c r="D152" i="55"/>
  <c r="F211" i="55"/>
  <c r="D44" i="55"/>
  <c r="D101" i="55"/>
  <c r="D153" i="55"/>
  <c r="F212" i="55"/>
  <c r="D45" i="55"/>
  <c r="D102" i="55"/>
  <c r="D154" i="55"/>
  <c r="F213" i="55"/>
  <c r="D46" i="55"/>
  <c r="D103" i="55"/>
  <c r="D155" i="55"/>
  <c r="F214" i="55"/>
  <c r="D47" i="55"/>
  <c r="D104" i="55"/>
  <c r="D156" i="55"/>
  <c r="F215" i="55"/>
  <c r="D48" i="55"/>
  <c r="D105" i="55"/>
  <c r="D157" i="55"/>
  <c r="F216" i="55"/>
  <c r="D49" i="55"/>
  <c r="D106" i="55"/>
  <c r="D158" i="55"/>
  <c r="F217" i="55"/>
  <c r="D50" i="55"/>
  <c r="D107" i="55"/>
  <c r="D159" i="55"/>
  <c r="F218" i="55"/>
  <c r="D51" i="55"/>
  <c r="D108" i="55"/>
  <c r="D160" i="55"/>
  <c r="F219" i="55"/>
  <c r="D52" i="55"/>
  <c r="D109" i="55"/>
  <c r="D161" i="55"/>
  <c r="F220" i="55"/>
  <c r="D162" i="55"/>
  <c r="F221" i="55"/>
  <c r="D163" i="55"/>
  <c r="F222" i="55"/>
  <c r="D164" i="55"/>
  <c r="F223" i="55"/>
  <c r="D56" i="55"/>
  <c r="D113" i="55"/>
  <c r="D165" i="55"/>
  <c r="F224" i="55"/>
  <c r="D57" i="55"/>
  <c r="D114" i="55"/>
  <c r="D166" i="55"/>
  <c r="F225" i="55"/>
  <c r="D58" i="55"/>
  <c r="D115" i="55"/>
  <c r="D167" i="55"/>
  <c r="F226" i="55"/>
  <c r="D59" i="55"/>
  <c r="D116" i="55"/>
  <c r="D168" i="55"/>
  <c r="F227" i="55"/>
  <c r="F229" i="55"/>
  <c r="G36" i="61"/>
  <c r="D23" i="72"/>
  <c r="D34" i="72"/>
  <c r="D47" i="72"/>
  <c r="D95" i="72"/>
  <c r="F139" i="72"/>
  <c r="D14" i="72"/>
  <c r="D38" i="72"/>
  <c r="D63" i="72"/>
  <c r="F140" i="72"/>
  <c r="D18" i="72"/>
  <c r="D42" i="72"/>
  <c r="D78" i="72"/>
  <c r="F141" i="72"/>
  <c r="D16" i="72"/>
  <c r="D40" i="72"/>
  <c r="D70" i="72"/>
  <c r="F142" i="72"/>
  <c r="F144" i="72"/>
  <c r="D13" i="72"/>
  <c r="D15" i="72"/>
  <c r="D17" i="72"/>
  <c r="D19" i="72"/>
  <c r="D20" i="72"/>
  <c r="D21" i="72"/>
  <c r="D22" i="72"/>
  <c r="D24" i="72"/>
  <c r="D25" i="72"/>
  <c r="D26" i="72"/>
  <c r="D27" i="72"/>
  <c r="D28" i="72"/>
  <c r="D29" i="72"/>
  <c r="D30" i="72"/>
  <c r="D31" i="72"/>
  <c r="D32" i="72"/>
  <c r="D35" i="72"/>
  <c r="F146" i="72"/>
  <c r="F148" i="72"/>
  <c r="G37" i="61"/>
  <c r="D10" i="42"/>
  <c r="D11" i="42"/>
  <c r="F22" i="42"/>
  <c r="F24" i="42"/>
  <c r="G38" i="61"/>
  <c r="D95" i="83"/>
  <c r="D34" i="84"/>
  <c r="D62" i="84"/>
  <c r="D124" i="84"/>
  <c r="D141" i="84"/>
  <c r="F149" i="84"/>
  <c r="F154" i="84"/>
  <c r="D125" i="84"/>
  <c r="D142" i="84"/>
  <c r="F155" i="84"/>
  <c r="D126" i="84"/>
  <c r="D143" i="84"/>
  <c r="F156" i="84"/>
  <c r="F159" i="84"/>
  <c r="G39" i="61"/>
  <c r="G41" i="61"/>
  <c r="F197" i="53"/>
  <c r="F198" i="53"/>
  <c r="F199" i="53"/>
  <c r="F200" i="53"/>
  <c r="F201" i="53"/>
  <c r="F202" i="53"/>
  <c r="F203" i="53"/>
  <c r="F204" i="53"/>
  <c r="F205" i="53"/>
  <c r="F206" i="53"/>
  <c r="F207" i="53"/>
  <c r="F208" i="53"/>
  <c r="F209" i="53"/>
  <c r="F210" i="53"/>
  <c r="F211" i="53"/>
  <c r="F212" i="53"/>
  <c r="F213" i="53"/>
  <c r="F214" i="53"/>
  <c r="F215" i="53"/>
  <c r="F216" i="53"/>
  <c r="F217" i="53"/>
  <c r="F218" i="53"/>
  <c r="F219" i="53"/>
  <c r="F221" i="53"/>
  <c r="F222" i="53"/>
  <c r="F223" i="53"/>
  <c r="F224" i="53"/>
  <c r="F225" i="53"/>
  <c r="F226" i="53"/>
  <c r="F227" i="53"/>
  <c r="F228" i="53"/>
  <c r="F229" i="53"/>
  <c r="F230" i="53"/>
  <c r="F231" i="53"/>
  <c r="F232" i="53"/>
  <c r="F233" i="53"/>
  <c r="F234" i="53"/>
  <c r="F235" i="53"/>
  <c r="F236" i="53"/>
  <c r="F237" i="53"/>
  <c r="F238" i="53"/>
  <c r="F239" i="53"/>
  <c r="F240" i="53"/>
  <c r="F241" i="53"/>
  <c r="F242" i="53"/>
  <c r="F243" i="53"/>
  <c r="F245" i="53"/>
  <c r="F246" i="53"/>
  <c r="F247" i="53"/>
  <c r="F250" i="53"/>
  <c r="F251" i="53"/>
  <c r="G15" i="61"/>
  <c r="F233" i="55"/>
  <c r="F234" i="55"/>
  <c r="F235" i="55"/>
  <c r="F236" i="55"/>
  <c r="F237" i="55"/>
  <c r="F238" i="55"/>
  <c r="F239" i="55"/>
  <c r="F240" i="55"/>
  <c r="F241" i="55"/>
  <c r="F242" i="55"/>
  <c r="F243" i="55"/>
  <c r="F244" i="55"/>
  <c r="F245" i="55"/>
  <c r="F246" i="55"/>
  <c r="F247" i="55"/>
  <c r="F248" i="55"/>
  <c r="F249" i="55"/>
  <c r="F250" i="55"/>
  <c r="F251" i="55"/>
  <c r="F252" i="55"/>
  <c r="F253" i="55"/>
  <c r="F254" i="55"/>
  <c r="F255" i="55"/>
  <c r="F257" i="55"/>
  <c r="F258" i="55"/>
  <c r="F259" i="55"/>
  <c r="F260" i="55"/>
  <c r="F261" i="55"/>
  <c r="F262" i="55"/>
  <c r="F263" i="55"/>
  <c r="F264" i="55"/>
  <c r="F265" i="55"/>
  <c r="F266" i="55"/>
  <c r="F267" i="55"/>
  <c r="F268" i="55"/>
  <c r="F269" i="55"/>
  <c r="F270" i="55"/>
  <c r="F271" i="55"/>
  <c r="F272" i="55"/>
  <c r="F273" i="55"/>
  <c r="F274" i="55"/>
  <c r="F275" i="55"/>
  <c r="F276" i="55"/>
  <c r="F277" i="55"/>
  <c r="F278" i="55"/>
  <c r="F279" i="55"/>
  <c r="F280" i="55"/>
  <c r="D10" i="55"/>
  <c r="F282" i="55"/>
  <c r="F283" i="55"/>
  <c r="F284" i="55"/>
  <c r="G16" i="61"/>
  <c r="F152" i="72"/>
  <c r="F153" i="72"/>
  <c r="F154" i="72"/>
  <c r="F155" i="72"/>
  <c r="F156" i="72"/>
  <c r="D12" i="72"/>
  <c r="F157" i="72"/>
  <c r="F158" i="72"/>
  <c r="F159" i="72"/>
  <c r="F160" i="72"/>
  <c r="G17" i="61"/>
  <c r="F163" i="84"/>
  <c r="F164" i="84"/>
  <c r="J14" i="83"/>
  <c r="D74" i="83"/>
  <c r="D13" i="84"/>
  <c r="D75" i="83"/>
  <c r="D14" i="84"/>
  <c r="D76" i="83"/>
  <c r="D15" i="84"/>
  <c r="D77" i="83"/>
  <c r="D16" i="84"/>
  <c r="D78" i="83"/>
  <c r="D17" i="84"/>
  <c r="D79" i="83"/>
  <c r="D18" i="84"/>
  <c r="D80" i="83"/>
  <c r="D19" i="84"/>
  <c r="D81" i="83"/>
  <c r="D20" i="84"/>
  <c r="D82" i="83"/>
  <c r="D21" i="84"/>
  <c r="D22" i="84"/>
  <c r="D84" i="83"/>
  <c r="D23" i="84"/>
  <c r="D85" i="83"/>
  <c r="D24" i="84"/>
  <c r="D86" i="83"/>
  <c r="D25" i="84"/>
  <c r="D87" i="83"/>
  <c r="D26" i="84"/>
  <c r="D88" i="83"/>
  <c r="D27" i="84"/>
  <c r="D89" i="83"/>
  <c r="D28" i="84"/>
  <c r="D90" i="83"/>
  <c r="D29" i="84"/>
  <c r="D91" i="83"/>
  <c r="D30" i="84"/>
  <c r="D92" i="83"/>
  <c r="D31" i="84"/>
  <c r="D93" i="83"/>
  <c r="D32" i="84"/>
  <c r="D94" i="83"/>
  <c r="D33" i="84"/>
  <c r="D96" i="83"/>
  <c r="D35" i="84"/>
  <c r="D97" i="83"/>
  <c r="D36" i="84"/>
  <c r="D98" i="83"/>
  <c r="D37" i="84"/>
  <c r="D39" i="84"/>
  <c r="D12" i="84"/>
  <c r="F165" i="84"/>
  <c r="F166" i="84"/>
  <c r="F167" i="84"/>
  <c r="F168" i="84"/>
  <c r="G18" i="61"/>
  <c r="G21" i="61"/>
  <c r="G42" i="61"/>
  <c r="G44" i="61"/>
  <c r="F253" i="53"/>
  <c r="F254" i="53"/>
  <c r="G6" i="61"/>
  <c r="F259" i="53"/>
  <c r="F260" i="53"/>
  <c r="F262" i="53"/>
  <c r="G47" i="61"/>
  <c r="G43" i="48"/>
  <c r="G44" i="48"/>
  <c r="G49" i="48"/>
  <c r="G48" i="61"/>
  <c r="F285" i="55"/>
  <c r="G7" i="61"/>
  <c r="F289" i="55"/>
  <c r="F290" i="55"/>
  <c r="F292" i="55"/>
  <c r="G49" i="61"/>
  <c r="F161" i="72"/>
  <c r="G8" i="61"/>
  <c r="F166" i="72"/>
  <c r="F167" i="72"/>
  <c r="F169" i="72"/>
  <c r="G50" i="61"/>
  <c r="F28" i="42"/>
  <c r="F29" i="42"/>
  <c r="F30" i="42"/>
  <c r="F35" i="42"/>
  <c r="G51" i="61"/>
  <c r="G52" i="61"/>
  <c r="G54" i="61"/>
  <c r="G55" i="61"/>
  <c r="G56" i="61"/>
  <c r="E30" i="68"/>
  <c r="F9" i="53"/>
  <c r="F62" i="53"/>
  <c r="G130" i="53"/>
  <c r="F10" i="53"/>
  <c r="F63" i="53"/>
  <c r="G131" i="53"/>
  <c r="F11" i="53"/>
  <c r="F64" i="53"/>
  <c r="G132" i="53"/>
  <c r="F12" i="53"/>
  <c r="F65" i="53"/>
  <c r="G133" i="53"/>
  <c r="F13" i="53"/>
  <c r="F66" i="53"/>
  <c r="G134" i="53"/>
  <c r="F14" i="53"/>
  <c r="F67" i="53"/>
  <c r="G135" i="53"/>
  <c r="F15" i="53"/>
  <c r="F68" i="53"/>
  <c r="G136" i="53"/>
  <c r="F16" i="53"/>
  <c r="F69" i="53"/>
  <c r="G137" i="53"/>
  <c r="F18" i="53"/>
  <c r="F71" i="53"/>
  <c r="G139" i="53"/>
  <c r="F19" i="53"/>
  <c r="F72" i="53"/>
  <c r="G140" i="53"/>
  <c r="F20" i="53"/>
  <c r="F73" i="53"/>
  <c r="G141" i="53"/>
  <c r="F21" i="53"/>
  <c r="F74" i="53"/>
  <c r="G142" i="53"/>
  <c r="F22" i="53"/>
  <c r="F75" i="53"/>
  <c r="G143" i="53"/>
  <c r="F23" i="53"/>
  <c r="F76" i="53"/>
  <c r="G144" i="53"/>
  <c r="F24" i="53"/>
  <c r="F77" i="53"/>
  <c r="G145" i="53"/>
  <c r="F25" i="53"/>
  <c r="F78" i="53"/>
  <c r="G146" i="53"/>
  <c r="F27" i="53"/>
  <c r="F80" i="53"/>
  <c r="G148" i="53"/>
  <c r="F28" i="53"/>
  <c r="F81" i="53"/>
  <c r="G149" i="53"/>
  <c r="F29" i="53"/>
  <c r="F82" i="53"/>
  <c r="G150" i="53"/>
  <c r="F30" i="53"/>
  <c r="F83" i="53"/>
  <c r="G151" i="53"/>
  <c r="F31" i="53"/>
  <c r="F84" i="53"/>
  <c r="G152" i="53"/>
  <c r="F33" i="53"/>
  <c r="F86" i="53"/>
  <c r="G154" i="53"/>
  <c r="F34" i="53"/>
  <c r="F87" i="53"/>
  <c r="G155" i="53"/>
  <c r="F35" i="53"/>
  <c r="F88" i="53"/>
  <c r="G156" i="53"/>
  <c r="F36" i="53"/>
  <c r="F89" i="53"/>
  <c r="G157" i="53"/>
  <c r="F37" i="53"/>
  <c r="F90" i="53"/>
  <c r="G158" i="53"/>
  <c r="F38" i="53"/>
  <c r="F91" i="53"/>
  <c r="G159" i="53"/>
  <c r="F39" i="53"/>
  <c r="F92" i="53"/>
  <c r="G160" i="53"/>
  <c r="F40" i="53"/>
  <c r="F93" i="53"/>
  <c r="G161" i="53"/>
  <c r="F41" i="53"/>
  <c r="F94" i="53"/>
  <c r="G162" i="53"/>
  <c r="F42" i="53"/>
  <c r="F95" i="53"/>
  <c r="G163" i="53"/>
  <c r="F43" i="53"/>
  <c r="F96" i="53"/>
  <c r="G164" i="53"/>
  <c r="F44" i="53"/>
  <c r="F97" i="53"/>
  <c r="G165" i="53"/>
  <c r="F45" i="53"/>
  <c r="F98" i="53"/>
  <c r="G166" i="53"/>
  <c r="F46" i="53"/>
  <c r="F99" i="53"/>
  <c r="G167" i="53"/>
  <c r="F47" i="53"/>
  <c r="F100" i="53"/>
  <c r="G168" i="53"/>
  <c r="F48" i="53"/>
  <c r="F101" i="53"/>
  <c r="G169" i="53"/>
  <c r="F49" i="53"/>
  <c r="F102" i="53"/>
  <c r="G170" i="53"/>
  <c r="F50" i="53"/>
  <c r="F103" i="53"/>
  <c r="G171" i="53"/>
  <c r="F51" i="53"/>
  <c r="F104" i="53"/>
  <c r="G172" i="53"/>
  <c r="F52" i="53"/>
  <c r="F105" i="53"/>
  <c r="G173" i="53"/>
  <c r="F53" i="53"/>
  <c r="F106" i="53"/>
  <c r="G174" i="53"/>
  <c r="F54" i="53"/>
  <c r="F107" i="53"/>
  <c r="G175" i="53"/>
  <c r="F55" i="53"/>
  <c r="F108" i="53"/>
  <c r="G176" i="53"/>
  <c r="F56" i="53"/>
  <c r="F109" i="53"/>
  <c r="G177" i="53"/>
  <c r="F57" i="53"/>
  <c r="F110" i="53"/>
  <c r="G178" i="53"/>
  <c r="F114" i="53"/>
  <c r="G182" i="53"/>
  <c r="F115" i="53"/>
  <c r="G183" i="53"/>
  <c r="F116" i="53"/>
  <c r="G184" i="53"/>
  <c r="F118" i="53"/>
  <c r="G187" i="53"/>
  <c r="F119" i="53"/>
  <c r="G188" i="53"/>
  <c r="G191" i="53"/>
  <c r="H34" i="61"/>
  <c r="H28" i="48"/>
  <c r="H29" i="48"/>
  <c r="H30" i="48"/>
  <c r="H31" i="48"/>
  <c r="H32" i="48"/>
  <c r="H33" i="48"/>
  <c r="H34" i="48"/>
  <c r="H35" i="48"/>
  <c r="H36" i="48"/>
  <c r="H37" i="48"/>
  <c r="H38" i="48"/>
  <c r="H39" i="48"/>
  <c r="H35" i="61"/>
  <c r="E11" i="55"/>
  <c r="E63" i="55"/>
  <c r="E68" i="55"/>
  <c r="E120" i="55"/>
  <c r="G178" i="55"/>
  <c r="E12" i="55"/>
  <c r="E69" i="55"/>
  <c r="E121" i="55"/>
  <c r="G179" i="55"/>
  <c r="E13" i="55"/>
  <c r="E70" i="55"/>
  <c r="E122" i="55"/>
  <c r="G180" i="55"/>
  <c r="E14" i="55"/>
  <c r="E71" i="55"/>
  <c r="E123" i="55"/>
  <c r="G181" i="55"/>
  <c r="E15" i="55"/>
  <c r="E72" i="55"/>
  <c r="E124" i="55"/>
  <c r="G182" i="55"/>
  <c r="E16" i="55"/>
  <c r="E73" i="55"/>
  <c r="E125" i="55"/>
  <c r="G183" i="55"/>
  <c r="E17" i="55"/>
  <c r="E74" i="55"/>
  <c r="E126" i="55"/>
  <c r="G184" i="55"/>
  <c r="E18" i="55"/>
  <c r="E75" i="55"/>
  <c r="E127" i="55"/>
  <c r="G185" i="55"/>
  <c r="E19" i="55"/>
  <c r="E76" i="55"/>
  <c r="E128" i="55"/>
  <c r="G186" i="55"/>
  <c r="E20" i="55"/>
  <c r="E77" i="55"/>
  <c r="E129" i="55"/>
  <c r="G187" i="55"/>
  <c r="E21" i="55"/>
  <c r="E78" i="55"/>
  <c r="E130" i="55"/>
  <c r="G188" i="55"/>
  <c r="E22" i="55"/>
  <c r="E79" i="55"/>
  <c r="E131" i="55"/>
  <c r="G189" i="55"/>
  <c r="E23" i="55"/>
  <c r="E80" i="55"/>
  <c r="E132" i="55"/>
  <c r="G190" i="55"/>
  <c r="E24" i="55"/>
  <c r="E81" i="55"/>
  <c r="E133" i="55"/>
  <c r="G191" i="55"/>
  <c r="E25" i="55"/>
  <c r="E82" i="55"/>
  <c r="E134" i="55"/>
  <c r="G192" i="55"/>
  <c r="E26" i="55"/>
  <c r="E83" i="55"/>
  <c r="E135" i="55"/>
  <c r="G193" i="55"/>
  <c r="E27" i="55"/>
  <c r="E84" i="55"/>
  <c r="E136" i="55"/>
  <c r="G194" i="55"/>
  <c r="E28" i="55"/>
  <c r="E85" i="55"/>
  <c r="E137" i="55"/>
  <c r="G195" i="55"/>
  <c r="E29" i="55"/>
  <c r="E86" i="55"/>
  <c r="E138" i="55"/>
  <c r="G196" i="55"/>
  <c r="E30" i="55"/>
  <c r="E87" i="55"/>
  <c r="E139" i="55"/>
  <c r="G197" i="55"/>
  <c r="E31" i="55"/>
  <c r="E88" i="55"/>
  <c r="E140" i="55"/>
  <c r="G198" i="55"/>
  <c r="E32" i="55"/>
  <c r="E89" i="55"/>
  <c r="E141" i="55"/>
  <c r="G199" i="55"/>
  <c r="E33" i="55"/>
  <c r="E65" i="55"/>
  <c r="G200" i="55"/>
  <c r="E35" i="55"/>
  <c r="E92" i="55"/>
  <c r="E144" i="55"/>
  <c r="G203" i="55"/>
  <c r="E36" i="55"/>
  <c r="E93" i="55"/>
  <c r="E145" i="55"/>
  <c r="G204" i="55"/>
  <c r="E37" i="55"/>
  <c r="E94" i="55"/>
  <c r="E146" i="55"/>
  <c r="G205" i="55"/>
  <c r="E38" i="55"/>
  <c r="E95" i="55"/>
  <c r="E147" i="55"/>
  <c r="G206" i="55"/>
  <c r="E39" i="55"/>
  <c r="E96" i="55"/>
  <c r="E148" i="55"/>
  <c r="G207" i="55"/>
  <c r="E40" i="55"/>
  <c r="E97" i="55"/>
  <c r="E149" i="55"/>
  <c r="G208" i="55"/>
  <c r="E41" i="55"/>
  <c r="E98" i="55"/>
  <c r="E150" i="55"/>
  <c r="G209" i="55"/>
  <c r="E42" i="55"/>
  <c r="E99" i="55"/>
  <c r="E151" i="55"/>
  <c r="G210" i="55"/>
  <c r="E43" i="55"/>
  <c r="E100" i="55"/>
  <c r="E152" i="55"/>
  <c r="G211" i="55"/>
  <c r="E44" i="55"/>
  <c r="E101" i="55"/>
  <c r="E153" i="55"/>
  <c r="G212" i="55"/>
  <c r="E45" i="55"/>
  <c r="E102" i="55"/>
  <c r="E154" i="55"/>
  <c r="G213" i="55"/>
  <c r="E46" i="55"/>
  <c r="E103" i="55"/>
  <c r="E155" i="55"/>
  <c r="G214" i="55"/>
  <c r="E47" i="55"/>
  <c r="E104" i="55"/>
  <c r="E156" i="55"/>
  <c r="G215" i="55"/>
  <c r="E48" i="55"/>
  <c r="E105" i="55"/>
  <c r="E157" i="55"/>
  <c r="G216" i="55"/>
  <c r="E49" i="55"/>
  <c r="E106" i="55"/>
  <c r="E158" i="55"/>
  <c r="G217" i="55"/>
  <c r="E50" i="55"/>
  <c r="E107" i="55"/>
  <c r="E159" i="55"/>
  <c r="G218" i="55"/>
  <c r="E51" i="55"/>
  <c r="E108" i="55"/>
  <c r="E160" i="55"/>
  <c r="G219" i="55"/>
  <c r="E52" i="55"/>
  <c r="E109" i="55"/>
  <c r="E161" i="55"/>
  <c r="G220" i="55"/>
  <c r="E162" i="55"/>
  <c r="G221" i="55"/>
  <c r="E163" i="55"/>
  <c r="G222" i="55"/>
  <c r="E164" i="55"/>
  <c r="G223" i="55"/>
  <c r="E56" i="55"/>
  <c r="E113" i="55"/>
  <c r="E165" i="55"/>
  <c r="G224" i="55"/>
  <c r="E57" i="55"/>
  <c r="E114" i="55"/>
  <c r="E166" i="55"/>
  <c r="G225" i="55"/>
  <c r="E58" i="55"/>
  <c r="E115" i="55"/>
  <c r="E167" i="55"/>
  <c r="G226" i="55"/>
  <c r="E59" i="55"/>
  <c r="E116" i="55"/>
  <c r="E168" i="55"/>
  <c r="G227" i="55"/>
  <c r="G229" i="55"/>
  <c r="H36" i="61"/>
  <c r="E23" i="72"/>
  <c r="E34" i="72"/>
  <c r="E47" i="72"/>
  <c r="E95" i="72"/>
  <c r="G139" i="72"/>
  <c r="E14" i="72"/>
  <c r="E38" i="72"/>
  <c r="E63" i="72"/>
  <c r="G140" i="72"/>
  <c r="E18" i="72"/>
  <c r="E42" i="72"/>
  <c r="E78" i="72"/>
  <c r="G141" i="72"/>
  <c r="E16" i="72"/>
  <c r="E40" i="72"/>
  <c r="E70" i="72"/>
  <c r="G142" i="72"/>
  <c r="G144" i="72"/>
  <c r="E13" i="72"/>
  <c r="E15" i="72"/>
  <c r="E17" i="72"/>
  <c r="E19" i="72"/>
  <c r="E20" i="72"/>
  <c r="E21" i="72"/>
  <c r="E22" i="72"/>
  <c r="E24" i="72"/>
  <c r="E25" i="72"/>
  <c r="E26" i="72"/>
  <c r="E27" i="72"/>
  <c r="E28" i="72"/>
  <c r="E29" i="72"/>
  <c r="E30" i="72"/>
  <c r="E31" i="72"/>
  <c r="E32" i="72"/>
  <c r="E35" i="72"/>
  <c r="G146" i="72"/>
  <c r="G148" i="72"/>
  <c r="H37" i="61"/>
  <c r="E10" i="42"/>
  <c r="E11" i="42"/>
  <c r="G22" i="42"/>
  <c r="G24" i="42"/>
  <c r="H38" i="61"/>
  <c r="E95" i="83"/>
  <c r="E34" i="84"/>
  <c r="E62" i="84"/>
  <c r="E124" i="84"/>
  <c r="E141" i="84"/>
  <c r="G149" i="84"/>
  <c r="G154" i="84"/>
  <c r="E125" i="84"/>
  <c r="E142" i="84"/>
  <c r="G155" i="84"/>
  <c r="E126" i="84"/>
  <c r="E143" i="84"/>
  <c r="G156" i="84"/>
  <c r="G159" i="84"/>
  <c r="H39" i="61"/>
  <c r="H41" i="61"/>
  <c r="G197" i="53"/>
  <c r="G198" i="53"/>
  <c r="G199" i="53"/>
  <c r="G200" i="53"/>
  <c r="G201" i="53"/>
  <c r="G202" i="53"/>
  <c r="G203" i="53"/>
  <c r="G204" i="53"/>
  <c r="G205" i="53"/>
  <c r="G206" i="53"/>
  <c r="G207" i="53"/>
  <c r="G208" i="53"/>
  <c r="G209" i="53"/>
  <c r="G210" i="53"/>
  <c r="G211" i="53"/>
  <c r="G212" i="53"/>
  <c r="G213" i="53"/>
  <c r="G214" i="53"/>
  <c r="G215" i="53"/>
  <c r="G216" i="53"/>
  <c r="G217" i="53"/>
  <c r="G218" i="53"/>
  <c r="G219" i="53"/>
  <c r="G221" i="53"/>
  <c r="G222" i="53"/>
  <c r="G223" i="53"/>
  <c r="G224" i="53"/>
  <c r="G225" i="53"/>
  <c r="G226" i="53"/>
  <c r="G227" i="53"/>
  <c r="G228" i="53"/>
  <c r="G229" i="53"/>
  <c r="G230" i="53"/>
  <c r="G231" i="53"/>
  <c r="G232" i="53"/>
  <c r="G233" i="53"/>
  <c r="G234" i="53"/>
  <c r="G235" i="53"/>
  <c r="G236" i="53"/>
  <c r="G237" i="53"/>
  <c r="G238" i="53"/>
  <c r="G239" i="53"/>
  <c r="G240" i="53"/>
  <c r="G241" i="53"/>
  <c r="G242" i="53"/>
  <c r="G243" i="53"/>
  <c r="G245" i="53"/>
  <c r="G246" i="53"/>
  <c r="G247" i="53"/>
  <c r="G250" i="53"/>
  <c r="G251" i="53"/>
  <c r="H15" i="61"/>
  <c r="G233" i="55"/>
  <c r="G234" i="55"/>
  <c r="G235" i="55"/>
  <c r="G236" i="55"/>
  <c r="G237" i="55"/>
  <c r="G238" i="55"/>
  <c r="G239" i="55"/>
  <c r="G240" i="55"/>
  <c r="G241" i="55"/>
  <c r="G242" i="55"/>
  <c r="G243" i="55"/>
  <c r="G244" i="55"/>
  <c r="G245" i="55"/>
  <c r="G246" i="55"/>
  <c r="G247" i="55"/>
  <c r="G248" i="55"/>
  <c r="G249" i="55"/>
  <c r="G250" i="55"/>
  <c r="G251" i="55"/>
  <c r="G252" i="55"/>
  <c r="G253" i="55"/>
  <c r="G254" i="55"/>
  <c r="G255" i="55"/>
  <c r="G257" i="55"/>
  <c r="G258" i="55"/>
  <c r="G259" i="55"/>
  <c r="G260" i="55"/>
  <c r="G261" i="55"/>
  <c r="G262" i="55"/>
  <c r="G263" i="55"/>
  <c r="G264" i="55"/>
  <c r="G265" i="55"/>
  <c r="G266" i="55"/>
  <c r="G267" i="55"/>
  <c r="G268" i="55"/>
  <c r="G269" i="55"/>
  <c r="G270" i="55"/>
  <c r="G271" i="55"/>
  <c r="G272" i="55"/>
  <c r="G273" i="55"/>
  <c r="G274" i="55"/>
  <c r="G275" i="55"/>
  <c r="G276" i="55"/>
  <c r="G277" i="55"/>
  <c r="G278" i="55"/>
  <c r="G279" i="55"/>
  <c r="G280" i="55"/>
  <c r="E10" i="55"/>
  <c r="G282" i="55"/>
  <c r="G283" i="55"/>
  <c r="G284" i="55"/>
  <c r="H16" i="61"/>
  <c r="G152" i="72"/>
  <c r="G153" i="72"/>
  <c r="G154" i="72"/>
  <c r="G155" i="72"/>
  <c r="G156" i="72"/>
  <c r="E12" i="72"/>
  <c r="G157" i="72"/>
  <c r="G158" i="72"/>
  <c r="G159" i="72"/>
  <c r="G160" i="72"/>
  <c r="H17" i="61"/>
  <c r="G163" i="84"/>
  <c r="G164" i="84"/>
  <c r="K12" i="83"/>
  <c r="K14" i="83"/>
  <c r="E74" i="83"/>
  <c r="E13" i="84"/>
  <c r="E75" i="83"/>
  <c r="E14" i="84"/>
  <c r="E76" i="83"/>
  <c r="E15" i="84"/>
  <c r="E77" i="83"/>
  <c r="E16" i="84"/>
  <c r="E78" i="83"/>
  <c r="E17" i="84"/>
  <c r="E79" i="83"/>
  <c r="E18" i="84"/>
  <c r="E80" i="83"/>
  <c r="E19" i="84"/>
  <c r="E81" i="83"/>
  <c r="E20" i="84"/>
  <c r="E82" i="83"/>
  <c r="E21" i="84"/>
  <c r="E22" i="84"/>
  <c r="E84" i="83"/>
  <c r="E23" i="84"/>
  <c r="E85" i="83"/>
  <c r="E24" i="84"/>
  <c r="E86" i="83"/>
  <c r="E25" i="84"/>
  <c r="E87" i="83"/>
  <c r="E26" i="84"/>
  <c r="E88" i="83"/>
  <c r="E27" i="84"/>
  <c r="E89" i="83"/>
  <c r="E28" i="84"/>
  <c r="E90" i="83"/>
  <c r="E29" i="84"/>
  <c r="E91" i="83"/>
  <c r="E30" i="84"/>
  <c r="E92" i="83"/>
  <c r="E31" i="84"/>
  <c r="E93" i="83"/>
  <c r="E32" i="84"/>
  <c r="E94" i="83"/>
  <c r="E33" i="84"/>
  <c r="E96" i="83"/>
  <c r="E35" i="84"/>
  <c r="E97" i="83"/>
  <c r="E36" i="84"/>
  <c r="E98" i="83"/>
  <c r="E37" i="84"/>
  <c r="E39" i="84"/>
  <c r="E12" i="84"/>
  <c r="G165" i="84"/>
  <c r="G166" i="84"/>
  <c r="G167" i="84"/>
  <c r="G168" i="84"/>
  <c r="H18" i="61"/>
  <c r="H21" i="61"/>
  <c r="H42" i="61"/>
  <c r="H44" i="61"/>
  <c r="G253" i="53"/>
  <c r="G254" i="53"/>
  <c r="H6" i="61"/>
  <c r="G259" i="53"/>
  <c r="G260" i="53"/>
  <c r="G262" i="53"/>
  <c r="H47" i="61"/>
  <c r="H43" i="48"/>
  <c r="H44" i="48"/>
  <c r="H49" i="48"/>
  <c r="H48" i="61"/>
  <c r="G285" i="55"/>
  <c r="H7" i="61"/>
  <c r="G289" i="55"/>
  <c r="G290" i="55"/>
  <c r="G292" i="55"/>
  <c r="H49" i="61"/>
  <c r="G161" i="72"/>
  <c r="H8" i="61"/>
  <c r="G166" i="72"/>
  <c r="G167" i="72"/>
  <c r="G169" i="72"/>
  <c r="H50" i="61"/>
  <c r="G28" i="42"/>
  <c r="G29" i="42"/>
  <c r="G30" i="42"/>
  <c r="G35" i="42"/>
  <c r="H51" i="61"/>
  <c r="H52" i="61"/>
  <c r="H54" i="61"/>
  <c r="H55" i="61"/>
  <c r="H56" i="61"/>
  <c r="F30" i="68"/>
  <c r="H130" i="53"/>
  <c r="H131" i="53"/>
  <c r="H132" i="53"/>
  <c r="H133" i="53"/>
  <c r="H134" i="53"/>
  <c r="H135" i="53"/>
  <c r="H136" i="53"/>
  <c r="H137" i="53"/>
  <c r="H139" i="53"/>
  <c r="H140" i="53"/>
  <c r="H141" i="53"/>
  <c r="H142" i="53"/>
  <c r="H143" i="53"/>
  <c r="H144" i="53"/>
  <c r="H145" i="53"/>
  <c r="H146" i="53"/>
  <c r="H148" i="53"/>
  <c r="H149" i="53"/>
  <c r="H150" i="53"/>
  <c r="H151" i="53"/>
  <c r="H152" i="53"/>
  <c r="H154" i="53"/>
  <c r="H155" i="53"/>
  <c r="H156" i="53"/>
  <c r="H157" i="53"/>
  <c r="H158" i="53"/>
  <c r="H159" i="53"/>
  <c r="H160" i="53"/>
  <c r="H161" i="53"/>
  <c r="H162" i="53"/>
  <c r="H163" i="53"/>
  <c r="H164" i="53"/>
  <c r="H165" i="53"/>
  <c r="H166" i="53"/>
  <c r="H167" i="53"/>
  <c r="H168" i="53"/>
  <c r="H169" i="53"/>
  <c r="H170" i="53"/>
  <c r="H171" i="53"/>
  <c r="H172" i="53"/>
  <c r="H173" i="53"/>
  <c r="H174" i="53"/>
  <c r="H175" i="53"/>
  <c r="H176" i="53"/>
  <c r="H177" i="53"/>
  <c r="H178" i="53"/>
  <c r="H182" i="53"/>
  <c r="H183" i="53"/>
  <c r="H184" i="53"/>
  <c r="H187" i="53"/>
  <c r="H188" i="53"/>
  <c r="H191" i="53"/>
  <c r="I34" i="61"/>
  <c r="I28" i="48"/>
  <c r="I29" i="48"/>
  <c r="I30" i="48"/>
  <c r="I31" i="48"/>
  <c r="I32" i="48"/>
  <c r="I33" i="48"/>
  <c r="I34" i="48"/>
  <c r="I35" i="48"/>
  <c r="I36" i="48"/>
  <c r="I37" i="48"/>
  <c r="I38" i="48"/>
  <c r="I39" i="48"/>
  <c r="I35" i="61"/>
  <c r="H178" i="55"/>
  <c r="H179" i="55"/>
  <c r="H180" i="55"/>
  <c r="H181" i="55"/>
  <c r="H182" i="55"/>
  <c r="H183" i="55"/>
  <c r="H184" i="55"/>
  <c r="H185" i="55"/>
  <c r="H186" i="55"/>
  <c r="H187" i="55"/>
  <c r="H188" i="55"/>
  <c r="H189" i="55"/>
  <c r="H190" i="55"/>
  <c r="H191" i="55"/>
  <c r="H192" i="55"/>
  <c r="H193" i="55"/>
  <c r="H194" i="55"/>
  <c r="H195" i="55"/>
  <c r="H196" i="55"/>
  <c r="H197" i="55"/>
  <c r="H198" i="55"/>
  <c r="H199" i="55"/>
  <c r="F65" i="55"/>
  <c r="H200" i="55"/>
  <c r="F144" i="55"/>
  <c r="H203" i="55"/>
  <c r="F145" i="55"/>
  <c r="H204" i="55"/>
  <c r="F146" i="55"/>
  <c r="H205" i="55"/>
  <c r="F147" i="55"/>
  <c r="H206" i="55"/>
  <c r="F148" i="55"/>
  <c r="H207" i="55"/>
  <c r="F149" i="55"/>
  <c r="H208" i="55"/>
  <c r="F150" i="55"/>
  <c r="H209" i="55"/>
  <c r="F151" i="55"/>
  <c r="H210" i="55"/>
  <c r="F152" i="55"/>
  <c r="H211" i="55"/>
  <c r="F153" i="55"/>
  <c r="H212" i="55"/>
  <c r="F154" i="55"/>
  <c r="H213" i="55"/>
  <c r="F155" i="55"/>
  <c r="H214" i="55"/>
  <c r="F156" i="55"/>
  <c r="H215" i="55"/>
  <c r="F157" i="55"/>
  <c r="H216" i="55"/>
  <c r="F158" i="55"/>
  <c r="H217" i="55"/>
  <c r="F159" i="55"/>
  <c r="H218" i="55"/>
  <c r="F160" i="55"/>
  <c r="H219" i="55"/>
  <c r="F161" i="55"/>
  <c r="H220" i="55"/>
  <c r="F162" i="55"/>
  <c r="H221" i="55"/>
  <c r="F163" i="55"/>
  <c r="H222" i="55"/>
  <c r="F164" i="55"/>
  <c r="H223" i="55"/>
  <c r="F165" i="55"/>
  <c r="H224" i="55"/>
  <c r="F166" i="55"/>
  <c r="H225" i="55"/>
  <c r="F167" i="55"/>
  <c r="H226" i="55"/>
  <c r="F168" i="55"/>
  <c r="H227" i="55"/>
  <c r="H229" i="55"/>
  <c r="I36" i="61"/>
  <c r="H139" i="72"/>
  <c r="H140" i="72"/>
  <c r="H141" i="72"/>
  <c r="F70" i="72"/>
  <c r="H142" i="72"/>
  <c r="H144" i="72"/>
  <c r="H146" i="72"/>
  <c r="H148" i="72"/>
  <c r="I37" i="61"/>
  <c r="H22" i="42"/>
  <c r="H24" i="42"/>
  <c r="I38" i="61"/>
  <c r="F95" i="83"/>
  <c r="F34" i="84"/>
  <c r="F62" i="84"/>
  <c r="F124" i="84"/>
  <c r="F141" i="84"/>
  <c r="H149" i="84"/>
  <c r="H154" i="84"/>
  <c r="F125" i="84"/>
  <c r="F142" i="84"/>
  <c r="H155" i="84"/>
  <c r="F126" i="84"/>
  <c r="F143" i="84"/>
  <c r="H156" i="84"/>
  <c r="H159" i="84"/>
  <c r="I39" i="61"/>
  <c r="I41" i="61"/>
  <c r="H163" i="84"/>
  <c r="H164" i="84"/>
  <c r="L12" i="83"/>
  <c r="L14" i="83"/>
  <c r="F74" i="83"/>
  <c r="F13" i="84"/>
  <c r="F75" i="83"/>
  <c r="F14" i="84"/>
  <c r="F76" i="83"/>
  <c r="F15" i="84"/>
  <c r="F77" i="83"/>
  <c r="F16" i="84"/>
  <c r="F78" i="83"/>
  <c r="F17" i="84"/>
  <c r="F79" i="83"/>
  <c r="F18" i="84"/>
  <c r="F80" i="83"/>
  <c r="F19" i="84"/>
  <c r="F81" i="83"/>
  <c r="F20" i="84"/>
  <c r="F82" i="83"/>
  <c r="F21" i="84"/>
  <c r="F22" i="84"/>
  <c r="F84" i="83"/>
  <c r="F23" i="84"/>
  <c r="F85" i="83"/>
  <c r="F24" i="84"/>
  <c r="F86" i="83"/>
  <c r="F25" i="84"/>
  <c r="F87" i="83"/>
  <c r="F26" i="84"/>
  <c r="F88" i="83"/>
  <c r="F27" i="84"/>
  <c r="F89" i="83"/>
  <c r="F28" i="84"/>
  <c r="F90" i="83"/>
  <c r="F29" i="84"/>
  <c r="F91" i="83"/>
  <c r="F30" i="84"/>
  <c r="F92" i="83"/>
  <c r="F31" i="84"/>
  <c r="F93" i="83"/>
  <c r="F32" i="84"/>
  <c r="F94" i="83"/>
  <c r="F33" i="84"/>
  <c r="F96" i="83"/>
  <c r="F35" i="84"/>
  <c r="F97" i="83"/>
  <c r="F36" i="84"/>
  <c r="F98" i="83"/>
  <c r="F37" i="84"/>
  <c r="F39" i="84"/>
  <c r="F12" i="84"/>
  <c r="H165" i="84"/>
  <c r="H166" i="84"/>
  <c r="H167" i="84"/>
  <c r="H168" i="84"/>
  <c r="I18" i="61"/>
  <c r="I21" i="61"/>
  <c r="I42" i="61"/>
  <c r="I44" i="61"/>
  <c r="H253" i="53"/>
  <c r="H254" i="53"/>
  <c r="I6" i="61"/>
  <c r="H259" i="53"/>
  <c r="H260" i="53"/>
  <c r="H262" i="53"/>
  <c r="I47" i="61"/>
  <c r="I43" i="48"/>
  <c r="I44" i="48"/>
  <c r="I49" i="48"/>
  <c r="I48" i="61"/>
  <c r="H285" i="55"/>
  <c r="I7" i="61"/>
  <c r="H289" i="55"/>
  <c r="H290" i="55"/>
  <c r="H292" i="55"/>
  <c r="I49" i="61"/>
  <c r="H161" i="72"/>
  <c r="I8" i="61"/>
  <c r="H166" i="72"/>
  <c r="H167" i="72"/>
  <c r="H169" i="72"/>
  <c r="I50" i="61"/>
  <c r="H28" i="42"/>
  <c r="H29" i="42"/>
  <c r="H30" i="42"/>
  <c r="H35" i="42"/>
  <c r="I51" i="61"/>
  <c r="I52" i="61"/>
  <c r="I54" i="61"/>
  <c r="I55" i="61"/>
  <c r="I56" i="61"/>
  <c r="G30" i="68"/>
  <c r="I130" i="53"/>
  <c r="I131" i="53"/>
  <c r="I132" i="53"/>
  <c r="I133" i="53"/>
  <c r="I134" i="53"/>
  <c r="I135" i="53"/>
  <c r="I136" i="53"/>
  <c r="I137" i="53"/>
  <c r="I139" i="53"/>
  <c r="I140" i="53"/>
  <c r="I141" i="53"/>
  <c r="I142" i="53"/>
  <c r="I143" i="53"/>
  <c r="I144" i="53"/>
  <c r="I145" i="53"/>
  <c r="I146" i="53"/>
  <c r="I148" i="53"/>
  <c r="I149" i="53"/>
  <c r="I150" i="53"/>
  <c r="I151" i="53"/>
  <c r="I152" i="53"/>
  <c r="I154" i="53"/>
  <c r="I155" i="53"/>
  <c r="I156" i="53"/>
  <c r="I157" i="53"/>
  <c r="I158" i="53"/>
  <c r="I159" i="53"/>
  <c r="I160" i="53"/>
  <c r="I161" i="53"/>
  <c r="I162" i="53"/>
  <c r="I163" i="53"/>
  <c r="I164" i="53"/>
  <c r="I165" i="53"/>
  <c r="I166" i="53"/>
  <c r="I167" i="53"/>
  <c r="I168" i="53"/>
  <c r="I169" i="53"/>
  <c r="I170" i="53"/>
  <c r="I171" i="53"/>
  <c r="I172" i="53"/>
  <c r="I173" i="53"/>
  <c r="I174" i="53"/>
  <c r="I175" i="53"/>
  <c r="I176" i="53"/>
  <c r="I177" i="53"/>
  <c r="I178" i="53"/>
  <c r="I182" i="53"/>
  <c r="I183" i="53"/>
  <c r="I184" i="53"/>
  <c r="I187" i="53"/>
  <c r="I188" i="53"/>
  <c r="I191" i="53"/>
  <c r="J34" i="61"/>
  <c r="J28" i="48"/>
  <c r="J29" i="48"/>
  <c r="J30" i="48"/>
  <c r="J31" i="48"/>
  <c r="J32" i="48"/>
  <c r="J33" i="48"/>
  <c r="J34" i="48"/>
  <c r="J35" i="48"/>
  <c r="J36" i="48"/>
  <c r="J37" i="48"/>
  <c r="J38" i="48"/>
  <c r="J39" i="48"/>
  <c r="J35" i="61"/>
  <c r="I178" i="55"/>
  <c r="I179" i="55"/>
  <c r="I180" i="55"/>
  <c r="I181" i="55"/>
  <c r="I182" i="55"/>
  <c r="I183" i="55"/>
  <c r="I184" i="55"/>
  <c r="I185" i="55"/>
  <c r="I186" i="55"/>
  <c r="I187" i="55"/>
  <c r="I188" i="55"/>
  <c r="I189" i="55"/>
  <c r="I190" i="55"/>
  <c r="I191" i="55"/>
  <c r="I192" i="55"/>
  <c r="I193" i="55"/>
  <c r="I194" i="55"/>
  <c r="I195" i="55"/>
  <c r="I196" i="55"/>
  <c r="I197" i="55"/>
  <c r="I198" i="55"/>
  <c r="I199" i="55"/>
  <c r="G65" i="55"/>
  <c r="I200" i="55"/>
  <c r="G144" i="55"/>
  <c r="I203" i="55"/>
  <c r="G145" i="55"/>
  <c r="I204" i="55"/>
  <c r="G146" i="55"/>
  <c r="I205" i="55"/>
  <c r="G147" i="55"/>
  <c r="I206" i="55"/>
  <c r="G148" i="55"/>
  <c r="I207" i="55"/>
  <c r="G149" i="55"/>
  <c r="I208" i="55"/>
  <c r="G150" i="55"/>
  <c r="I209" i="55"/>
  <c r="G151" i="55"/>
  <c r="I210" i="55"/>
  <c r="G152" i="55"/>
  <c r="I211" i="55"/>
  <c r="G153" i="55"/>
  <c r="I212" i="55"/>
  <c r="G154" i="55"/>
  <c r="I213" i="55"/>
  <c r="G155" i="55"/>
  <c r="I214" i="55"/>
  <c r="G156" i="55"/>
  <c r="I215" i="55"/>
  <c r="G157" i="55"/>
  <c r="I216" i="55"/>
  <c r="G158" i="55"/>
  <c r="I217" i="55"/>
  <c r="G159" i="55"/>
  <c r="I218" i="55"/>
  <c r="G160" i="55"/>
  <c r="I219" i="55"/>
  <c r="G161" i="55"/>
  <c r="I220" i="55"/>
  <c r="G162" i="55"/>
  <c r="I221" i="55"/>
  <c r="G163" i="55"/>
  <c r="I222" i="55"/>
  <c r="G164" i="55"/>
  <c r="I223" i="55"/>
  <c r="G165" i="55"/>
  <c r="I224" i="55"/>
  <c r="G166" i="55"/>
  <c r="I225" i="55"/>
  <c r="G167" i="55"/>
  <c r="I226" i="55"/>
  <c r="G168" i="55"/>
  <c r="I227" i="55"/>
  <c r="I229" i="55"/>
  <c r="J36" i="61"/>
  <c r="I139" i="72"/>
  <c r="I140" i="72"/>
  <c r="I141" i="72"/>
  <c r="G70" i="72"/>
  <c r="I142" i="72"/>
  <c r="I144" i="72"/>
  <c r="I146" i="72"/>
  <c r="I148" i="72"/>
  <c r="J37" i="61"/>
  <c r="F10" i="42"/>
  <c r="G10" i="42"/>
  <c r="G11" i="42"/>
  <c r="I22" i="42"/>
  <c r="I24" i="42"/>
  <c r="J38" i="61"/>
  <c r="G95" i="83"/>
  <c r="G34" i="84"/>
  <c r="G62" i="84"/>
  <c r="G124" i="84"/>
  <c r="G141" i="84"/>
  <c r="I149" i="84"/>
  <c r="I154" i="84"/>
  <c r="G125" i="84"/>
  <c r="G142" i="84"/>
  <c r="I155" i="84"/>
  <c r="G126" i="84"/>
  <c r="G143" i="84"/>
  <c r="I156" i="84"/>
  <c r="I159" i="84"/>
  <c r="J39" i="61"/>
  <c r="J41" i="61"/>
  <c r="I163" i="84"/>
  <c r="I164" i="84"/>
  <c r="M12" i="83"/>
  <c r="M14" i="83"/>
  <c r="G74" i="83"/>
  <c r="G13" i="84"/>
  <c r="G75" i="83"/>
  <c r="G14" i="84"/>
  <c r="G76" i="83"/>
  <c r="G15" i="84"/>
  <c r="G77" i="83"/>
  <c r="G16" i="84"/>
  <c r="G78" i="83"/>
  <c r="G17" i="84"/>
  <c r="G79" i="83"/>
  <c r="G18" i="84"/>
  <c r="G80" i="83"/>
  <c r="G19" i="84"/>
  <c r="G81" i="83"/>
  <c r="G20" i="84"/>
  <c r="G82" i="83"/>
  <c r="G21" i="84"/>
  <c r="G22" i="84"/>
  <c r="G84" i="83"/>
  <c r="G23" i="84"/>
  <c r="G85" i="83"/>
  <c r="G24" i="84"/>
  <c r="G86" i="83"/>
  <c r="G25" i="84"/>
  <c r="G87" i="83"/>
  <c r="G26" i="84"/>
  <c r="G88" i="83"/>
  <c r="G27" i="84"/>
  <c r="G89" i="83"/>
  <c r="G28" i="84"/>
  <c r="G90" i="83"/>
  <c r="G29" i="84"/>
  <c r="G91" i="83"/>
  <c r="G30" i="84"/>
  <c r="G92" i="83"/>
  <c r="G31" i="84"/>
  <c r="G93" i="83"/>
  <c r="G32" i="84"/>
  <c r="G94" i="83"/>
  <c r="G33" i="84"/>
  <c r="G96" i="83"/>
  <c r="G35" i="84"/>
  <c r="G97" i="83"/>
  <c r="G36" i="84"/>
  <c r="G98" i="83"/>
  <c r="G37" i="84"/>
  <c r="G39" i="84"/>
  <c r="G12" i="84"/>
  <c r="I165" i="84"/>
  <c r="I166" i="84"/>
  <c r="I167" i="84"/>
  <c r="I168" i="84"/>
  <c r="J18" i="61"/>
  <c r="J21" i="61"/>
  <c r="J42" i="61"/>
  <c r="J44" i="61"/>
  <c r="J47" i="61"/>
  <c r="J48" i="61"/>
  <c r="J49" i="61"/>
  <c r="J50" i="61"/>
  <c r="J51" i="61"/>
  <c r="J52" i="61"/>
  <c r="J54" i="61"/>
  <c r="J55" i="61"/>
  <c r="J56" i="61"/>
  <c r="H30" i="68"/>
  <c r="H90" i="81"/>
  <c r="H92" i="81"/>
  <c r="I9" i="53"/>
  <c r="I62" i="53"/>
  <c r="J124" i="53"/>
  <c r="J130" i="53"/>
  <c r="H93" i="81"/>
  <c r="I10" i="53"/>
  <c r="I63" i="53"/>
  <c r="J131" i="53"/>
  <c r="H94" i="81"/>
  <c r="I11" i="53"/>
  <c r="I64" i="53"/>
  <c r="J132" i="53"/>
  <c r="H95" i="81"/>
  <c r="I12" i="53"/>
  <c r="I65" i="53"/>
  <c r="J133" i="53"/>
  <c r="H96" i="81"/>
  <c r="I13" i="53"/>
  <c r="I66" i="53"/>
  <c r="J134" i="53"/>
  <c r="H97" i="81"/>
  <c r="I14" i="53"/>
  <c r="I67" i="53"/>
  <c r="J135" i="53"/>
  <c r="H98" i="81"/>
  <c r="I15" i="53"/>
  <c r="I68" i="53"/>
  <c r="J136" i="53"/>
  <c r="H99" i="81"/>
  <c r="I16" i="53"/>
  <c r="I69" i="53"/>
  <c r="J137" i="53"/>
  <c r="H101" i="81"/>
  <c r="I18" i="53"/>
  <c r="I71" i="53"/>
  <c r="J139" i="53"/>
  <c r="H102" i="81"/>
  <c r="I19" i="53"/>
  <c r="I72" i="53"/>
  <c r="J140" i="53"/>
  <c r="H103" i="81"/>
  <c r="I20" i="53"/>
  <c r="I73" i="53"/>
  <c r="J141" i="53"/>
  <c r="H104" i="81"/>
  <c r="I21" i="53"/>
  <c r="I74" i="53"/>
  <c r="J142" i="53"/>
  <c r="G105" i="81"/>
  <c r="H105" i="81"/>
  <c r="I22" i="53"/>
  <c r="I75" i="53"/>
  <c r="J143" i="53"/>
  <c r="H106" i="81"/>
  <c r="I23" i="53"/>
  <c r="I76" i="53"/>
  <c r="J144" i="53"/>
  <c r="H107" i="81"/>
  <c r="I24" i="53"/>
  <c r="I77" i="53"/>
  <c r="J145" i="53"/>
  <c r="H108" i="81"/>
  <c r="I25" i="53"/>
  <c r="I78" i="53"/>
  <c r="J146" i="53"/>
  <c r="H110" i="81"/>
  <c r="I27" i="53"/>
  <c r="I80" i="53"/>
  <c r="J148" i="53"/>
  <c r="H111" i="81"/>
  <c r="I28" i="53"/>
  <c r="I81" i="53"/>
  <c r="J149" i="53"/>
  <c r="H112" i="81"/>
  <c r="I29" i="53"/>
  <c r="I82" i="53"/>
  <c r="J150" i="53"/>
  <c r="H113" i="81"/>
  <c r="I30" i="53"/>
  <c r="I83" i="53"/>
  <c r="J151" i="53"/>
  <c r="I31" i="53"/>
  <c r="I84" i="53"/>
  <c r="J152" i="53"/>
  <c r="H100" i="83"/>
  <c r="H102" i="83"/>
  <c r="I33" i="53"/>
  <c r="I86" i="53"/>
  <c r="J154" i="53"/>
  <c r="H103" i="83"/>
  <c r="I34" i="53"/>
  <c r="I87" i="53"/>
  <c r="J155" i="53"/>
  <c r="H104" i="83"/>
  <c r="I35" i="53"/>
  <c r="I88" i="53"/>
  <c r="J156" i="53"/>
  <c r="H105" i="83"/>
  <c r="I36" i="53"/>
  <c r="I89" i="53"/>
  <c r="J157" i="53"/>
  <c r="H106" i="83"/>
  <c r="I37" i="53"/>
  <c r="I90" i="53"/>
  <c r="J158" i="53"/>
  <c r="H107" i="83"/>
  <c r="I38" i="53"/>
  <c r="I91" i="53"/>
  <c r="J159" i="53"/>
  <c r="H108" i="83"/>
  <c r="I39" i="53"/>
  <c r="I92" i="53"/>
  <c r="J160" i="53"/>
  <c r="H109" i="83"/>
  <c r="I40" i="53"/>
  <c r="I93" i="53"/>
  <c r="J161" i="53"/>
  <c r="H110" i="83"/>
  <c r="I41" i="53"/>
  <c r="I94" i="53"/>
  <c r="J162" i="53"/>
  <c r="H111" i="83"/>
  <c r="I42" i="53"/>
  <c r="I95" i="53"/>
  <c r="J163" i="53"/>
  <c r="H112" i="83"/>
  <c r="I43" i="53"/>
  <c r="I96" i="53"/>
  <c r="J164" i="53"/>
  <c r="H113" i="83"/>
  <c r="I44" i="53"/>
  <c r="I97" i="53"/>
  <c r="J165" i="53"/>
  <c r="H114" i="83"/>
  <c r="I45" i="53"/>
  <c r="I98" i="53"/>
  <c r="J166" i="53"/>
  <c r="H115" i="83"/>
  <c r="I46" i="53"/>
  <c r="I99" i="53"/>
  <c r="J167" i="53"/>
  <c r="H116" i="83"/>
  <c r="I47" i="53"/>
  <c r="I100" i="53"/>
  <c r="J168" i="53"/>
  <c r="H117" i="83"/>
  <c r="I48" i="53"/>
  <c r="I101" i="53"/>
  <c r="J169" i="53"/>
  <c r="H118" i="83"/>
  <c r="I49" i="53"/>
  <c r="I102" i="53"/>
  <c r="J170" i="53"/>
  <c r="H119" i="83"/>
  <c r="I50" i="53"/>
  <c r="I103" i="53"/>
  <c r="J171" i="53"/>
  <c r="H120" i="83"/>
  <c r="I51" i="53"/>
  <c r="I104" i="53"/>
  <c r="J172" i="53"/>
  <c r="H121" i="83"/>
  <c r="I52" i="53"/>
  <c r="I105" i="53"/>
  <c r="J173" i="53"/>
  <c r="H122" i="83"/>
  <c r="I53" i="53"/>
  <c r="I106" i="53"/>
  <c r="J174" i="53"/>
  <c r="H123" i="83"/>
  <c r="I54" i="53"/>
  <c r="I107" i="53"/>
  <c r="J175" i="53"/>
  <c r="H124" i="83"/>
  <c r="I55" i="53"/>
  <c r="I108" i="53"/>
  <c r="J176" i="53"/>
  <c r="H125" i="83"/>
  <c r="I56" i="53"/>
  <c r="I109" i="53"/>
  <c r="J177" i="53"/>
  <c r="H126" i="83"/>
  <c r="I57" i="53"/>
  <c r="I110" i="53"/>
  <c r="J178" i="53"/>
  <c r="I114" i="53"/>
  <c r="J182" i="53"/>
  <c r="I115" i="53"/>
  <c r="J183" i="53"/>
  <c r="I116" i="53"/>
  <c r="J184" i="53"/>
  <c r="I118" i="53"/>
  <c r="J187" i="53"/>
  <c r="I119" i="53"/>
  <c r="J188" i="53"/>
  <c r="J191" i="53"/>
  <c r="K34" i="61"/>
  <c r="K23" i="48"/>
  <c r="K28" i="48"/>
  <c r="K29" i="48"/>
  <c r="K30" i="48"/>
  <c r="K31" i="48"/>
  <c r="K32" i="48"/>
  <c r="K33" i="48"/>
  <c r="K34" i="48"/>
  <c r="K35" i="48"/>
  <c r="K36" i="48"/>
  <c r="K37" i="48"/>
  <c r="K38" i="48"/>
  <c r="K39" i="48"/>
  <c r="K35" i="61"/>
  <c r="H40" i="81"/>
  <c r="H42" i="81"/>
  <c r="H11" i="55"/>
  <c r="H63" i="55"/>
  <c r="H68" i="55"/>
  <c r="H120" i="55"/>
  <c r="J172" i="55"/>
  <c r="J178" i="55"/>
  <c r="H43" i="81"/>
  <c r="H12" i="55"/>
  <c r="H69" i="55"/>
  <c r="H121" i="55"/>
  <c r="J179" i="55"/>
  <c r="H44" i="81"/>
  <c r="H13" i="55"/>
  <c r="H70" i="55"/>
  <c r="H122" i="55"/>
  <c r="J180" i="55"/>
  <c r="H45" i="81"/>
  <c r="H14" i="55"/>
  <c r="H71" i="55"/>
  <c r="H123" i="55"/>
  <c r="J181" i="55"/>
  <c r="H46" i="81"/>
  <c r="H15" i="55"/>
  <c r="H72" i="55"/>
  <c r="H124" i="55"/>
  <c r="J182" i="55"/>
  <c r="H47" i="81"/>
  <c r="H16" i="55"/>
  <c r="H73" i="55"/>
  <c r="H125" i="55"/>
  <c r="J183" i="55"/>
  <c r="H48" i="81"/>
  <c r="H17" i="55"/>
  <c r="H74" i="55"/>
  <c r="H126" i="55"/>
  <c r="J184" i="55"/>
  <c r="H49" i="81"/>
  <c r="H18" i="55"/>
  <c r="H75" i="55"/>
  <c r="H127" i="55"/>
  <c r="J185" i="55"/>
  <c r="H50" i="81"/>
  <c r="H19" i="55"/>
  <c r="H76" i="55"/>
  <c r="H128" i="55"/>
  <c r="J186" i="55"/>
  <c r="H51" i="81"/>
  <c r="H20" i="55"/>
  <c r="H77" i="55"/>
  <c r="H129" i="55"/>
  <c r="J187" i="55"/>
  <c r="H52" i="81"/>
  <c r="H21" i="55"/>
  <c r="H78" i="55"/>
  <c r="H130" i="55"/>
  <c r="J188" i="55"/>
  <c r="H22" i="55"/>
  <c r="H79" i="55"/>
  <c r="H131" i="55"/>
  <c r="J189" i="55"/>
  <c r="H54" i="81"/>
  <c r="H23" i="55"/>
  <c r="H80" i="55"/>
  <c r="H132" i="55"/>
  <c r="J190" i="55"/>
  <c r="H55" i="81"/>
  <c r="H24" i="55"/>
  <c r="H81" i="55"/>
  <c r="H133" i="55"/>
  <c r="J191" i="55"/>
  <c r="H56" i="81"/>
  <c r="H25" i="55"/>
  <c r="H82" i="55"/>
  <c r="H134" i="55"/>
  <c r="J192" i="55"/>
  <c r="H57" i="81"/>
  <c r="H26" i="55"/>
  <c r="H83" i="55"/>
  <c r="H135" i="55"/>
  <c r="J193" i="55"/>
  <c r="H58" i="81"/>
  <c r="H27" i="55"/>
  <c r="H84" i="55"/>
  <c r="H136" i="55"/>
  <c r="J194" i="55"/>
  <c r="H59" i="81"/>
  <c r="H28" i="55"/>
  <c r="H85" i="55"/>
  <c r="H137" i="55"/>
  <c r="J195" i="55"/>
  <c r="H60" i="81"/>
  <c r="H29" i="55"/>
  <c r="H86" i="55"/>
  <c r="H138" i="55"/>
  <c r="J196" i="55"/>
  <c r="H61" i="81"/>
  <c r="H30" i="55"/>
  <c r="H87" i="55"/>
  <c r="H139" i="55"/>
  <c r="J197" i="55"/>
  <c r="H62" i="81"/>
  <c r="H31" i="55"/>
  <c r="H88" i="55"/>
  <c r="H140" i="55"/>
  <c r="J198" i="55"/>
  <c r="H32" i="55"/>
  <c r="H89" i="55"/>
  <c r="H141" i="55"/>
  <c r="J199" i="55"/>
  <c r="H33" i="55"/>
  <c r="H65" i="55"/>
  <c r="J200" i="55"/>
  <c r="H44" i="83"/>
  <c r="H46" i="83"/>
  <c r="H35" i="55"/>
  <c r="H92" i="55"/>
  <c r="H144" i="55"/>
  <c r="J203" i="55"/>
  <c r="H47" i="83"/>
  <c r="H36" i="55"/>
  <c r="H93" i="55"/>
  <c r="H145" i="55"/>
  <c r="J204" i="55"/>
  <c r="H48" i="83"/>
  <c r="H37" i="55"/>
  <c r="H94" i="55"/>
  <c r="H146" i="55"/>
  <c r="J205" i="55"/>
  <c r="H49" i="83"/>
  <c r="H38" i="55"/>
  <c r="H95" i="55"/>
  <c r="H147" i="55"/>
  <c r="J206" i="55"/>
  <c r="H50" i="83"/>
  <c r="H39" i="55"/>
  <c r="H96" i="55"/>
  <c r="H148" i="55"/>
  <c r="J207" i="55"/>
  <c r="H51" i="83"/>
  <c r="H40" i="55"/>
  <c r="H97" i="55"/>
  <c r="H149" i="55"/>
  <c r="J208" i="55"/>
  <c r="H52" i="83"/>
  <c r="H41" i="55"/>
  <c r="H98" i="55"/>
  <c r="H150" i="55"/>
  <c r="J209" i="55"/>
  <c r="H53" i="83"/>
  <c r="H42" i="55"/>
  <c r="H99" i="55"/>
  <c r="H151" i="55"/>
  <c r="J210" i="55"/>
  <c r="H54" i="83"/>
  <c r="H43" i="55"/>
  <c r="H100" i="55"/>
  <c r="H152" i="55"/>
  <c r="J211" i="55"/>
  <c r="H55" i="83"/>
  <c r="H44" i="55"/>
  <c r="H101" i="55"/>
  <c r="H153" i="55"/>
  <c r="J212" i="55"/>
  <c r="H56" i="83"/>
  <c r="H45" i="55"/>
  <c r="H102" i="55"/>
  <c r="H154" i="55"/>
  <c r="J213" i="55"/>
  <c r="H57" i="83"/>
  <c r="H46" i="55"/>
  <c r="H103" i="55"/>
  <c r="H155" i="55"/>
  <c r="J214" i="55"/>
  <c r="H58" i="83"/>
  <c r="H47" i="55"/>
  <c r="H104" i="55"/>
  <c r="H156" i="55"/>
  <c r="J215" i="55"/>
  <c r="H59" i="83"/>
  <c r="H48" i="55"/>
  <c r="H105" i="55"/>
  <c r="H157" i="55"/>
  <c r="J216" i="55"/>
  <c r="H60" i="83"/>
  <c r="H49" i="55"/>
  <c r="H106" i="55"/>
  <c r="H158" i="55"/>
  <c r="J217" i="55"/>
  <c r="H61" i="83"/>
  <c r="H50" i="55"/>
  <c r="H107" i="55"/>
  <c r="H159" i="55"/>
  <c r="J218" i="55"/>
  <c r="H62" i="83"/>
  <c r="H51" i="55"/>
  <c r="H108" i="55"/>
  <c r="H160" i="55"/>
  <c r="J219" i="55"/>
  <c r="H63" i="83"/>
  <c r="H52" i="55"/>
  <c r="H109" i="55"/>
  <c r="H161" i="55"/>
  <c r="J220" i="55"/>
  <c r="H162" i="55"/>
  <c r="J221" i="55"/>
  <c r="H163" i="55"/>
  <c r="J222" i="55"/>
  <c r="H164" i="55"/>
  <c r="J223" i="55"/>
  <c r="H67" i="83"/>
  <c r="H56" i="55"/>
  <c r="H113" i="55"/>
  <c r="H165" i="55"/>
  <c r="J224" i="55"/>
  <c r="H68" i="83"/>
  <c r="H57" i="55"/>
  <c r="H114" i="55"/>
  <c r="H166" i="55"/>
  <c r="J225" i="55"/>
  <c r="H69" i="83"/>
  <c r="H58" i="55"/>
  <c r="H115" i="55"/>
  <c r="H167" i="55"/>
  <c r="J226" i="55"/>
  <c r="H70" i="83"/>
  <c r="H59" i="55"/>
  <c r="H116" i="55"/>
  <c r="H168" i="55"/>
  <c r="J227" i="55"/>
  <c r="J229" i="55"/>
  <c r="K36" i="61"/>
  <c r="J133" i="72"/>
  <c r="H65" i="81"/>
  <c r="H77" i="81"/>
  <c r="H23" i="72"/>
  <c r="H33" i="72"/>
  <c r="H34" i="72"/>
  <c r="H47" i="72"/>
  <c r="H95" i="72"/>
  <c r="J139" i="72"/>
  <c r="H68" i="81"/>
  <c r="H14" i="72"/>
  <c r="H38" i="72"/>
  <c r="H63" i="72"/>
  <c r="J140" i="72"/>
  <c r="H72" i="81"/>
  <c r="H18" i="72"/>
  <c r="H42" i="72"/>
  <c r="H78" i="72"/>
  <c r="J141" i="72"/>
  <c r="H70" i="81"/>
  <c r="H16" i="72"/>
  <c r="H40" i="72"/>
  <c r="H70" i="72"/>
  <c r="J142" i="72"/>
  <c r="J144" i="72"/>
  <c r="J145" i="72"/>
  <c r="H67" i="81"/>
  <c r="H13" i="72"/>
  <c r="H69" i="81"/>
  <c r="H15" i="72"/>
  <c r="H71" i="81"/>
  <c r="H17" i="72"/>
  <c r="H73" i="81"/>
  <c r="H19" i="72"/>
  <c r="H74" i="81"/>
  <c r="H20" i="72"/>
  <c r="H75" i="81"/>
  <c r="H21" i="72"/>
  <c r="H22" i="72"/>
  <c r="H78" i="81"/>
  <c r="H24" i="72"/>
  <c r="H79" i="81"/>
  <c r="H25" i="72"/>
  <c r="H80" i="81"/>
  <c r="H26" i="72"/>
  <c r="H81" i="81"/>
  <c r="H27" i="72"/>
  <c r="H82" i="81"/>
  <c r="H28" i="72"/>
  <c r="H83" i="81"/>
  <c r="H29" i="72"/>
  <c r="H84" i="81"/>
  <c r="H30" i="72"/>
  <c r="H85" i="81"/>
  <c r="H31" i="72"/>
  <c r="H32" i="72"/>
  <c r="H35" i="72"/>
  <c r="J146" i="72"/>
  <c r="J148" i="72"/>
  <c r="K37" i="61"/>
  <c r="H10" i="42"/>
  <c r="H11" i="42"/>
  <c r="J18" i="42"/>
  <c r="J22" i="42"/>
  <c r="J24" i="42"/>
  <c r="K38" i="61"/>
  <c r="H95" i="83"/>
  <c r="H34" i="84"/>
  <c r="H62" i="84"/>
  <c r="H124" i="84"/>
  <c r="H141" i="84"/>
  <c r="J149" i="84"/>
  <c r="J154" i="84"/>
  <c r="H125" i="84"/>
  <c r="H142" i="84"/>
  <c r="J155" i="84"/>
  <c r="H126" i="84"/>
  <c r="H143" i="84"/>
  <c r="J156" i="84"/>
  <c r="J159" i="84"/>
  <c r="K39" i="61"/>
  <c r="K41" i="61"/>
  <c r="J197" i="53"/>
  <c r="J198" i="53"/>
  <c r="J199" i="53"/>
  <c r="J200" i="53"/>
  <c r="J201" i="53"/>
  <c r="J202" i="53"/>
  <c r="J203" i="53"/>
  <c r="J204" i="53"/>
  <c r="J205" i="53"/>
  <c r="J206" i="53"/>
  <c r="J207" i="53"/>
  <c r="J208" i="53"/>
  <c r="J209" i="53"/>
  <c r="J210" i="53"/>
  <c r="J211" i="53"/>
  <c r="J212" i="53"/>
  <c r="J213" i="53"/>
  <c r="J214" i="53"/>
  <c r="J215" i="53"/>
  <c r="J216" i="53"/>
  <c r="J217" i="53"/>
  <c r="J218" i="53"/>
  <c r="J219" i="53"/>
  <c r="J221" i="53"/>
  <c r="J222" i="53"/>
  <c r="J223" i="53"/>
  <c r="J224" i="53"/>
  <c r="J225" i="53"/>
  <c r="J226" i="53"/>
  <c r="J227" i="53"/>
  <c r="J228" i="53"/>
  <c r="J229" i="53"/>
  <c r="J230" i="53"/>
  <c r="J231" i="53"/>
  <c r="J232" i="53"/>
  <c r="J233" i="53"/>
  <c r="J234" i="53"/>
  <c r="J235" i="53"/>
  <c r="J236" i="53"/>
  <c r="J237" i="53"/>
  <c r="J238" i="53"/>
  <c r="J239" i="53"/>
  <c r="J240" i="53"/>
  <c r="J241" i="53"/>
  <c r="J242" i="53"/>
  <c r="J243" i="53"/>
  <c r="J245" i="53"/>
  <c r="J246" i="53"/>
  <c r="J247" i="53"/>
  <c r="J250" i="53"/>
  <c r="J251" i="53"/>
  <c r="K15" i="61"/>
  <c r="J233" i="55"/>
  <c r="J234" i="55"/>
  <c r="J235" i="55"/>
  <c r="J236" i="55"/>
  <c r="J237" i="55"/>
  <c r="J238" i="55"/>
  <c r="J239" i="55"/>
  <c r="J240" i="55"/>
  <c r="J241" i="55"/>
  <c r="J242" i="55"/>
  <c r="J243" i="55"/>
  <c r="J244" i="55"/>
  <c r="J245" i="55"/>
  <c r="J246" i="55"/>
  <c r="J247" i="55"/>
  <c r="J248" i="55"/>
  <c r="J249" i="55"/>
  <c r="J250" i="55"/>
  <c r="J251" i="55"/>
  <c r="J252" i="55"/>
  <c r="J253" i="55"/>
  <c r="J254" i="55"/>
  <c r="J255" i="55"/>
  <c r="J257" i="55"/>
  <c r="J258" i="55"/>
  <c r="J259" i="55"/>
  <c r="J260" i="55"/>
  <c r="J261" i="55"/>
  <c r="J262" i="55"/>
  <c r="J263" i="55"/>
  <c r="J264" i="55"/>
  <c r="J265" i="55"/>
  <c r="J266" i="55"/>
  <c r="J267" i="55"/>
  <c r="J268" i="55"/>
  <c r="J269" i="55"/>
  <c r="J270" i="55"/>
  <c r="J271" i="55"/>
  <c r="J272" i="55"/>
  <c r="J273" i="55"/>
  <c r="J274" i="55"/>
  <c r="J275" i="55"/>
  <c r="J276" i="55"/>
  <c r="J277" i="55"/>
  <c r="J278" i="55"/>
  <c r="J279" i="55"/>
  <c r="J280" i="55"/>
  <c r="H10" i="55"/>
  <c r="J282" i="55"/>
  <c r="J283" i="55"/>
  <c r="J284" i="55"/>
  <c r="K16" i="61"/>
  <c r="J152" i="72"/>
  <c r="J153" i="72"/>
  <c r="J154" i="72"/>
  <c r="J155" i="72"/>
  <c r="J156" i="72"/>
  <c r="H12" i="72"/>
  <c r="J157" i="72"/>
  <c r="J158" i="72"/>
  <c r="J159" i="72"/>
  <c r="J160" i="72"/>
  <c r="K17" i="61"/>
  <c r="J163" i="84"/>
  <c r="J164" i="84"/>
  <c r="N12" i="83"/>
  <c r="N14" i="83"/>
  <c r="H74" i="83"/>
  <c r="H13" i="84"/>
  <c r="H75" i="83"/>
  <c r="H14" i="84"/>
  <c r="H76" i="83"/>
  <c r="H15" i="84"/>
  <c r="H77" i="83"/>
  <c r="H16" i="84"/>
  <c r="H78" i="83"/>
  <c r="H17" i="84"/>
  <c r="H79" i="83"/>
  <c r="H18" i="84"/>
  <c r="H80" i="83"/>
  <c r="H19" i="84"/>
  <c r="H81" i="83"/>
  <c r="H20" i="84"/>
  <c r="H82" i="83"/>
  <c r="H21" i="84"/>
  <c r="H22" i="84"/>
  <c r="H84" i="83"/>
  <c r="H23" i="84"/>
  <c r="H85" i="83"/>
  <c r="H24" i="84"/>
  <c r="H86" i="83"/>
  <c r="H25" i="84"/>
  <c r="H87" i="83"/>
  <c r="H26" i="84"/>
  <c r="H88" i="83"/>
  <c r="H27" i="84"/>
  <c r="H89" i="83"/>
  <c r="H28" i="84"/>
  <c r="H90" i="83"/>
  <c r="H29" i="84"/>
  <c r="H91" i="83"/>
  <c r="H30" i="84"/>
  <c r="H31" i="84"/>
  <c r="H32" i="84"/>
  <c r="H33" i="84"/>
  <c r="H96" i="83"/>
  <c r="H35" i="84"/>
  <c r="H97" i="83"/>
  <c r="H36" i="84"/>
  <c r="H98" i="83"/>
  <c r="H37" i="84"/>
  <c r="H39" i="84"/>
  <c r="H12" i="84"/>
  <c r="J165" i="84"/>
  <c r="J166" i="84"/>
  <c r="J167" i="84"/>
  <c r="J168" i="84"/>
  <c r="K18" i="61"/>
  <c r="K21" i="61"/>
  <c r="K42" i="61"/>
  <c r="K44" i="61"/>
  <c r="J253" i="53"/>
  <c r="J254" i="53"/>
  <c r="K6" i="61"/>
  <c r="J259" i="53"/>
  <c r="J260" i="53"/>
  <c r="J262" i="53"/>
  <c r="K47" i="61"/>
  <c r="K43" i="48"/>
  <c r="K44" i="48"/>
  <c r="K49" i="48"/>
  <c r="K48" i="61"/>
  <c r="J285" i="55"/>
  <c r="K7" i="61"/>
  <c r="J289" i="55"/>
  <c r="J290" i="55"/>
  <c r="J292" i="55"/>
  <c r="K49" i="61"/>
  <c r="J161" i="72"/>
  <c r="K8" i="61"/>
  <c r="J166" i="72"/>
  <c r="J167" i="72"/>
  <c r="J169" i="72"/>
  <c r="K50" i="61"/>
  <c r="J28" i="42"/>
  <c r="J29" i="42"/>
  <c r="J30" i="42"/>
  <c r="J35" i="42"/>
  <c r="K51" i="61"/>
  <c r="K52" i="61"/>
  <c r="K54" i="61"/>
  <c r="K55" i="61"/>
  <c r="K56" i="61"/>
  <c r="I30" i="68"/>
  <c r="E57" i="61"/>
  <c r="B24" i="69"/>
  <c r="F57" i="61"/>
  <c r="C24" i="69"/>
  <c r="G57" i="61"/>
  <c r="D24" i="69"/>
  <c r="H57" i="61"/>
  <c r="E24" i="69"/>
  <c r="I57" i="61"/>
  <c r="F24" i="69"/>
  <c r="J57" i="61"/>
  <c r="G24" i="69"/>
  <c r="K57" i="61"/>
  <c r="H24" i="69"/>
  <c r="C8" i="21"/>
  <c r="C9" i="21"/>
  <c r="C10" i="21"/>
  <c r="C11" i="21"/>
  <c r="C12" i="21"/>
  <c r="C13" i="21"/>
  <c r="C15" i="21"/>
  <c r="C18" i="21"/>
  <c r="C19" i="21"/>
  <c r="C20" i="21"/>
  <c r="C21" i="21"/>
  <c r="C22" i="21"/>
  <c r="C23" i="21"/>
  <c r="C25" i="21"/>
  <c r="E294" i="55"/>
  <c r="E295" i="55"/>
  <c r="E296" i="55"/>
  <c r="E301" i="55"/>
  <c r="C28" i="21"/>
  <c r="E172" i="72"/>
  <c r="E177" i="72"/>
  <c r="C29" i="21"/>
  <c r="E38" i="42"/>
  <c r="E39" i="42"/>
  <c r="D40" i="42"/>
  <c r="E40" i="42"/>
  <c r="E41" i="42"/>
  <c r="E44" i="42"/>
  <c r="C30" i="21"/>
  <c r="F52" i="48"/>
  <c r="F53" i="48"/>
  <c r="F54" i="48"/>
  <c r="F56" i="48"/>
  <c r="C31" i="21"/>
  <c r="E265" i="53"/>
  <c r="E266" i="53"/>
  <c r="E267" i="53"/>
  <c r="E268" i="53"/>
  <c r="E273" i="53"/>
  <c r="C32" i="21"/>
  <c r="E180" i="84"/>
  <c r="E181" i="84"/>
  <c r="E185" i="84"/>
  <c r="C33" i="21"/>
  <c r="F4" i="22"/>
  <c r="F8" i="22"/>
  <c r="F9" i="22"/>
  <c r="F10" i="22"/>
  <c r="F11" i="22"/>
  <c r="F12" i="22"/>
  <c r="F13" i="22"/>
  <c r="F14" i="22"/>
  <c r="F15" i="22"/>
  <c r="F16" i="22"/>
  <c r="F17" i="22"/>
  <c r="F18" i="22"/>
  <c r="F19" i="22"/>
  <c r="F20" i="22"/>
  <c r="F21" i="22"/>
  <c r="F22" i="22"/>
  <c r="F23" i="22"/>
  <c r="F24" i="22"/>
  <c r="C35" i="21"/>
  <c r="C36" i="21"/>
  <c r="C38" i="21"/>
  <c r="C40" i="21"/>
  <c r="C50" i="22"/>
  <c r="D51" i="22"/>
  <c r="C44" i="22"/>
  <c r="D45" i="22"/>
  <c r="C38" i="22"/>
  <c r="D39" i="22"/>
  <c r="C56" i="22"/>
  <c r="D57" i="22"/>
  <c r="C62" i="22"/>
  <c r="D63" i="22"/>
  <c r="D67" i="22"/>
  <c r="C42" i="21"/>
  <c r="D87" i="22"/>
  <c r="C43" i="21"/>
  <c r="C45" i="21"/>
  <c r="D4" i="23"/>
  <c r="C10" i="23"/>
  <c r="D10" i="23"/>
  <c r="F10" i="23"/>
  <c r="E10" i="23"/>
  <c r="G10" i="23"/>
  <c r="C11" i="23"/>
  <c r="D11" i="23"/>
  <c r="F11" i="23"/>
  <c r="E11" i="23"/>
  <c r="G11" i="23"/>
  <c r="C12" i="23"/>
  <c r="D12" i="23"/>
  <c r="F12" i="23"/>
  <c r="E12" i="23"/>
  <c r="G12" i="23"/>
  <c r="C13" i="23"/>
  <c r="D13" i="23"/>
  <c r="F13" i="23"/>
  <c r="E13" i="23"/>
  <c r="G13" i="23"/>
  <c r="C14" i="23"/>
  <c r="D14" i="23"/>
  <c r="F14" i="23"/>
  <c r="E14" i="23"/>
  <c r="G14" i="23"/>
  <c r="C15" i="23"/>
  <c r="D15" i="23"/>
  <c r="F15" i="23"/>
  <c r="E15" i="23"/>
  <c r="G15" i="23"/>
  <c r="C16" i="23"/>
  <c r="G16" i="23"/>
  <c r="C17" i="23"/>
  <c r="G17" i="23"/>
  <c r="C18" i="23"/>
  <c r="G18" i="23"/>
  <c r="C19" i="23"/>
  <c r="G19" i="23"/>
  <c r="C20" i="23"/>
  <c r="G20" i="23"/>
  <c r="C21" i="23"/>
  <c r="G21" i="23"/>
  <c r="C22" i="23"/>
  <c r="D22" i="23"/>
  <c r="D8" i="23"/>
  <c r="F22" i="23"/>
  <c r="E22" i="23"/>
  <c r="G22" i="23"/>
  <c r="C23" i="23"/>
  <c r="D23" i="23"/>
  <c r="F23" i="23"/>
  <c r="E23" i="23"/>
  <c r="G23" i="23"/>
  <c r="C24" i="23"/>
  <c r="D24" i="23"/>
  <c r="F24" i="23"/>
  <c r="E24" i="23"/>
  <c r="G24" i="23"/>
  <c r="C25" i="23"/>
  <c r="D25" i="23"/>
  <c r="F25" i="23"/>
  <c r="E25" i="23"/>
  <c r="G25" i="23"/>
  <c r="C26" i="23"/>
  <c r="D26" i="23"/>
  <c r="F26" i="23"/>
  <c r="E26" i="23"/>
  <c r="G26" i="23"/>
  <c r="C27" i="23"/>
  <c r="D27" i="23"/>
  <c r="F27" i="23"/>
  <c r="E27" i="23"/>
  <c r="G27" i="23"/>
  <c r="C28" i="23"/>
  <c r="D28" i="23"/>
  <c r="F28" i="23"/>
  <c r="E28" i="23"/>
  <c r="G28" i="23"/>
  <c r="C29" i="23"/>
  <c r="D29" i="23"/>
  <c r="F29" i="23"/>
  <c r="E29" i="23"/>
  <c r="G29" i="23"/>
  <c r="C30" i="23"/>
  <c r="D30" i="23"/>
  <c r="F30" i="23"/>
  <c r="E30" i="23"/>
  <c r="G30" i="23"/>
  <c r="C31" i="23"/>
  <c r="D31" i="23"/>
  <c r="F31" i="23"/>
  <c r="E31" i="23"/>
  <c r="G31" i="23"/>
  <c r="C32" i="23"/>
  <c r="D32" i="23"/>
  <c r="F32" i="23"/>
  <c r="E32" i="23"/>
  <c r="G32" i="23"/>
  <c r="C33" i="23"/>
  <c r="D33" i="23"/>
  <c r="D26" i="68"/>
  <c r="D11" i="68"/>
  <c r="D27" i="68"/>
  <c r="D28" i="68"/>
  <c r="C47" i="21"/>
  <c r="C49" i="21"/>
  <c r="D58" i="29"/>
  <c r="D8" i="21"/>
  <c r="D9" i="21"/>
  <c r="D10" i="21"/>
  <c r="D11" i="21"/>
  <c r="D12" i="21"/>
  <c r="D13" i="21"/>
  <c r="D15" i="21"/>
  <c r="D18" i="21"/>
  <c r="D19" i="21"/>
  <c r="D20" i="21"/>
  <c r="D21" i="21"/>
  <c r="D22" i="21"/>
  <c r="D23" i="21"/>
  <c r="D25" i="21"/>
  <c r="F294" i="55"/>
  <c r="F295" i="55"/>
  <c r="F296" i="55"/>
  <c r="F301" i="55"/>
  <c r="D28" i="21"/>
  <c r="F172" i="72"/>
  <c r="F177" i="72"/>
  <c r="D29" i="21"/>
  <c r="F38" i="42"/>
  <c r="F39" i="42"/>
  <c r="F40" i="42"/>
  <c r="F41" i="42"/>
  <c r="F44" i="42"/>
  <c r="D30" i="21"/>
  <c r="G52" i="48"/>
  <c r="G53" i="48"/>
  <c r="G54" i="48"/>
  <c r="G56" i="48"/>
  <c r="D31" i="21"/>
  <c r="F265" i="53"/>
  <c r="F266" i="53"/>
  <c r="F267" i="53"/>
  <c r="F268" i="53"/>
  <c r="F273" i="53"/>
  <c r="D32" i="21"/>
  <c r="F180" i="84"/>
  <c r="F181" i="84"/>
  <c r="F185" i="84"/>
  <c r="D33" i="21"/>
  <c r="G4" i="22"/>
  <c r="G8" i="22"/>
  <c r="G9" i="22"/>
  <c r="G10" i="22"/>
  <c r="G11" i="22"/>
  <c r="G12" i="22"/>
  <c r="G13" i="22"/>
  <c r="G14" i="22"/>
  <c r="G15" i="22"/>
  <c r="G16" i="22"/>
  <c r="G17" i="22"/>
  <c r="G18" i="22"/>
  <c r="G19" i="22"/>
  <c r="G20" i="22"/>
  <c r="G21" i="22"/>
  <c r="G22" i="22"/>
  <c r="G23" i="22"/>
  <c r="G24" i="22"/>
  <c r="D35" i="21"/>
  <c r="D36" i="21"/>
  <c r="D38" i="21"/>
  <c r="D40" i="21"/>
  <c r="E51" i="22"/>
  <c r="E45" i="22"/>
  <c r="E39" i="22"/>
  <c r="E57" i="22"/>
  <c r="E63" i="22"/>
  <c r="E67" i="22"/>
  <c r="D42" i="21"/>
  <c r="E87" i="22"/>
  <c r="D43" i="21"/>
  <c r="D45" i="21"/>
  <c r="F33" i="23"/>
  <c r="E33" i="23"/>
  <c r="G33" i="23"/>
  <c r="C34" i="23"/>
  <c r="D34" i="23"/>
  <c r="F34" i="23"/>
  <c r="E34" i="23"/>
  <c r="G34" i="23"/>
  <c r="C35" i="23"/>
  <c r="D35" i="23"/>
  <c r="F35" i="23"/>
  <c r="E35" i="23"/>
  <c r="G35" i="23"/>
  <c r="C36" i="23"/>
  <c r="D36" i="23"/>
  <c r="F36" i="23"/>
  <c r="E36" i="23"/>
  <c r="G36" i="23"/>
  <c r="C37" i="23"/>
  <c r="D37" i="23"/>
  <c r="F37" i="23"/>
  <c r="E37" i="23"/>
  <c r="G37" i="23"/>
  <c r="C38" i="23"/>
  <c r="D38" i="23"/>
  <c r="F38" i="23"/>
  <c r="E38" i="23"/>
  <c r="G38" i="23"/>
  <c r="C39" i="23"/>
  <c r="D39" i="23"/>
  <c r="F39" i="23"/>
  <c r="E39" i="23"/>
  <c r="G39" i="23"/>
  <c r="C40" i="23"/>
  <c r="D40" i="23"/>
  <c r="F40" i="23"/>
  <c r="E40" i="23"/>
  <c r="G40" i="23"/>
  <c r="C41" i="23"/>
  <c r="D41" i="23"/>
  <c r="F41" i="23"/>
  <c r="E41" i="23"/>
  <c r="G41" i="23"/>
  <c r="C42" i="23"/>
  <c r="D42" i="23"/>
  <c r="F42" i="23"/>
  <c r="E42" i="23"/>
  <c r="G42" i="23"/>
  <c r="C43" i="23"/>
  <c r="D43" i="23"/>
  <c r="F43" i="23"/>
  <c r="E43" i="23"/>
  <c r="G43" i="23"/>
  <c r="C44" i="23"/>
  <c r="D44" i="23"/>
  <c r="F44" i="23"/>
  <c r="E44" i="23"/>
  <c r="G44" i="23"/>
  <c r="C45" i="23"/>
  <c r="D45" i="23"/>
  <c r="E26" i="68"/>
  <c r="E11" i="68"/>
  <c r="E27" i="68"/>
  <c r="E28" i="68"/>
  <c r="D47" i="21"/>
  <c r="D49" i="21"/>
  <c r="E58" i="29"/>
  <c r="E8" i="21"/>
  <c r="E9" i="21"/>
  <c r="E10" i="21"/>
  <c r="E11" i="21"/>
  <c r="E12" i="21"/>
  <c r="E13" i="21"/>
  <c r="E15" i="21"/>
  <c r="E18" i="21"/>
  <c r="E19" i="21"/>
  <c r="E20" i="21"/>
  <c r="E21" i="21"/>
  <c r="E22" i="21"/>
  <c r="E23" i="21"/>
  <c r="E25" i="21"/>
  <c r="G294" i="55"/>
  <c r="G295" i="55"/>
  <c r="G296" i="55"/>
  <c r="G301" i="55"/>
  <c r="E28" i="21"/>
  <c r="G172" i="72"/>
  <c r="G177" i="72"/>
  <c r="E29" i="21"/>
  <c r="G38" i="42"/>
  <c r="G39" i="42"/>
  <c r="G40" i="42"/>
  <c r="G41" i="42"/>
  <c r="G44" i="42"/>
  <c r="E30" i="21"/>
  <c r="H52" i="48"/>
  <c r="H53" i="48"/>
  <c r="H54" i="48"/>
  <c r="H56" i="48"/>
  <c r="E31" i="21"/>
  <c r="G265" i="53"/>
  <c r="G266" i="53"/>
  <c r="G267" i="53"/>
  <c r="G268" i="53"/>
  <c r="G273" i="53"/>
  <c r="E32" i="21"/>
  <c r="G180" i="84"/>
  <c r="G181" i="84"/>
  <c r="G185" i="84"/>
  <c r="E33" i="21"/>
  <c r="H4" i="22"/>
  <c r="H8" i="22"/>
  <c r="H9" i="22"/>
  <c r="H10" i="22"/>
  <c r="H11" i="22"/>
  <c r="H12" i="22"/>
  <c r="H13" i="22"/>
  <c r="H14" i="22"/>
  <c r="H15" i="22"/>
  <c r="H16" i="22"/>
  <c r="H17" i="22"/>
  <c r="H18" i="22"/>
  <c r="H19" i="22"/>
  <c r="H20" i="22"/>
  <c r="H21" i="22"/>
  <c r="H22" i="22"/>
  <c r="H23" i="22"/>
  <c r="H24" i="22"/>
  <c r="E35" i="21"/>
  <c r="E36" i="21"/>
  <c r="E38" i="21"/>
  <c r="E40" i="21"/>
  <c r="F51" i="22"/>
  <c r="F45" i="22"/>
  <c r="F39" i="22"/>
  <c r="F57" i="22"/>
  <c r="F63" i="22"/>
  <c r="F67" i="22"/>
  <c r="E42" i="21"/>
  <c r="F87" i="22"/>
  <c r="E43" i="21"/>
  <c r="E45" i="21"/>
  <c r="F45" i="23"/>
  <c r="E45" i="23"/>
  <c r="G45" i="23"/>
  <c r="C46" i="23"/>
  <c r="D46" i="23"/>
  <c r="F46" i="23"/>
  <c r="E46" i="23"/>
  <c r="G46" i="23"/>
  <c r="C47" i="23"/>
  <c r="D47" i="23"/>
  <c r="F47" i="23"/>
  <c r="E47" i="23"/>
  <c r="G47" i="23"/>
  <c r="C48" i="23"/>
  <c r="D48" i="23"/>
  <c r="F48" i="23"/>
  <c r="E48" i="23"/>
  <c r="G48" i="23"/>
  <c r="C49" i="23"/>
  <c r="D49" i="23"/>
  <c r="F49" i="23"/>
  <c r="E49" i="23"/>
  <c r="G49" i="23"/>
  <c r="C50" i="23"/>
  <c r="D50" i="23"/>
  <c r="F50" i="23"/>
  <c r="E50" i="23"/>
  <c r="G50" i="23"/>
  <c r="C51" i="23"/>
  <c r="D51" i="23"/>
  <c r="F51" i="23"/>
  <c r="E51" i="23"/>
  <c r="G51" i="23"/>
  <c r="C52" i="23"/>
  <c r="D52" i="23"/>
  <c r="F52" i="23"/>
  <c r="E52" i="23"/>
  <c r="G52" i="23"/>
  <c r="C53" i="23"/>
  <c r="D53" i="23"/>
  <c r="F53" i="23"/>
  <c r="E53" i="23"/>
  <c r="G53" i="23"/>
  <c r="C54" i="23"/>
  <c r="D54" i="23"/>
  <c r="F54" i="23"/>
  <c r="E54" i="23"/>
  <c r="G54" i="23"/>
  <c r="C55" i="23"/>
  <c r="D55" i="23"/>
  <c r="F55" i="23"/>
  <c r="E55" i="23"/>
  <c r="G55" i="23"/>
  <c r="C56" i="23"/>
  <c r="D56" i="23"/>
  <c r="F56" i="23"/>
  <c r="E56" i="23"/>
  <c r="G56" i="23"/>
  <c r="C57" i="23"/>
  <c r="D57" i="23"/>
  <c r="F26" i="68"/>
  <c r="F11" i="68"/>
  <c r="F27" i="68"/>
  <c r="F28" i="68"/>
  <c r="E47" i="21"/>
  <c r="E49" i="21"/>
  <c r="F58" i="29"/>
  <c r="F8" i="21"/>
  <c r="F9" i="21"/>
  <c r="F10" i="21"/>
  <c r="F11" i="21"/>
  <c r="F12" i="21"/>
  <c r="F13" i="21"/>
  <c r="F15" i="21"/>
  <c r="F18" i="21"/>
  <c r="F19" i="21"/>
  <c r="F20" i="21"/>
  <c r="F21" i="21"/>
  <c r="F22" i="21"/>
  <c r="F23" i="21"/>
  <c r="F25" i="21"/>
  <c r="H294" i="55"/>
  <c r="H295" i="55"/>
  <c r="H296" i="55"/>
  <c r="H301" i="55"/>
  <c r="F28" i="21"/>
  <c r="H172" i="72"/>
  <c r="H177" i="72"/>
  <c r="F29" i="21"/>
  <c r="H38" i="42"/>
  <c r="H39" i="42"/>
  <c r="H40" i="42"/>
  <c r="F11" i="42"/>
  <c r="H41" i="42"/>
  <c r="H44" i="42"/>
  <c r="F30" i="21"/>
  <c r="I52" i="48"/>
  <c r="I53" i="48"/>
  <c r="I54" i="48"/>
  <c r="I56" i="48"/>
  <c r="F31" i="21"/>
  <c r="H265" i="53"/>
  <c r="H266" i="53"/>
  <c r="H267" i="53"/>
  <c r="H268" i="53"/>
  <c r="H273" i="53"/>
  <c r="F32" i="21"/>
  <c r="H180" i="84"/>
  <c r="H181" i="84"/>
  <c r="H185" i="84"/>
  <c r="F33" i="21"/>
  <c r="I4" i="22"/>
  <c r="I8" i="22"/>
  <c r="I9" i="22"/>
  <c r="I10" i="22"/>
  <c r="I11" i="22"/>
  <c r="I12" i="22"/>
  <c r="I13" i="22"/>
  <c r="I14" i="22"/>
  <c r="I15" i="22"/>
  <c r="I16" i="22"/>
  <c r="I17" i="22"/>
  <c r="I18" i="22"/>
  <c r="I19" i="22"/>
  <c r="I20" i="22"/>
  <c r="I21" i="22"/>
  <c r="I22" i="22"/>
  <c r="I23" i="22"/>
  <c r="I24" i="22"/>
  <c r="F35" i="21"/>
  <c r="F36" i="21"/>
  <c r="F38" i="21"/>
  <c r="F40" i="21"/>
  <c r="G51" i="22"/>
  <c r="G45" i="22"/>
  <c r="G39" i="22"/>
  <c r="G57" i="22"/>
  <c r="G63" i="22"/>
  <c r="G67" i="22"/>
  <c r="F42" i="21"/>
  <c r="G87" i="22"/>
  <c r="F43" i="21"/>
  <c r="F45" i="21"/>
  <c r="F57" i="23"/>
  <c r="E57" i="23"/>
  <c r="G57" i="23"/>
  <c r="C58" i="23"/>
  <c r="D58" i="23"/>
  <c r="F58" i="23"/>
  <c r="E58" i="23"/>
  <c r="G58" i="23"/>
  <c r="C59" i="23"/>
  <c r="D59" i="23"/>
  <c r="F59" i="23"/>
  <c r="E59" i="23"/>
  <c r="G59" i="23"/>
  <c r="C60" i="23"/>
  <c r="D60" i="23"/>
  <c r="F60" i="23"/>
  <c r="E60" i="23"/>
  <c r="G60" i="23"/>
  <c r="C61" i="23"/>
  <c r="D61" i="23"/>
  <c r="F61" i="23"/>
  <c r="E61" i="23"/>
  <c r="G61" i="23"/>
  <c r="C62" i="23"/>
  <c r="D62" i="23"/>
  <c r="F62" i="23"/>
  <c r="E62" i="23"/>
  <c r="G62" i="23"/>
  <c r="C63" i="23"/>
  <c r="D63" i="23"/>
  <c r="F63" i="23"/>
  <c r="E63" i="23"/>
  <c r="G63" i="23"/>
  <c r="C64" i="23"/>
  <c r="D64" i="23"/>
  <c r="F64" i="23"/>
  <c r="E64" i="23"/>
  <c r="G64" i="23"/>
  <c r="C65" i="23"/>
  <c r="D65" i="23"/>
  <c r="F65" i="23"/>
  <c r="E65" i="23"/>
  <c r="G65" i="23"/>
  <c r="C66" i="23"/>
  <c r="D66" i="23"/>
  <c r="F66" i="23"/>
  <c r="E66" i="23"/>
  <c r="G66" i="23"/>
  <c r="C67" i="23"/>
  <c r="D67" i="23"/>
  <c r="F67" i="23"/>
  <c r="E67" i="23"/>
  <c r="G67" i="23"/>
  <c r="C68" i="23"/>
  <c r="D68" i="23"/>
  <c r="F68" i="23"/>
  <c r="E68" i="23"/>
  <c r="G68" i="23"/>
  <c r="C69" i="23"/>
  <c r="D69" i="23"/>
  <c r="G26" i="68"/>
  <c r="G11" i="68"/>
  <c r="G27" i="68"/>
  <c r="G28" i="68"/>
  <c r="F47" i="21"/>
  <c r="F49" i="21"/>
  <c r="G58" i="29"/>
  <c r="G8" i="21"/>
  <c r="G9" i="21"/>
  <c r="G10" i="21"/>
  <c r="G11" i="21"/>
  <c r="G12" i="21"/>
  <c r="G13" i="21"/>
  <c r="G15" i="21"/>
  <c r="I294" i="55"/>
  <c r="I295" i="55"/>
  <c r="I296" i="55"/>
  <c r="I301" i="55"/>
  <c r="G28" i="21"/>
  <c r="I172" i="72"/>
  <c r="I177" i="72"/>
  <c r="G29" i="21"/>
  <c r="I38" i="42"/>
  <c r="I39" i="42"/>
  <c r="I40" i="42"/>
  <c r="I41" i="42"/>
  <c r="I44" i="42"/>
  <c r="G30" i="21"/>
  <c r="J52" i="48"/>
  <c r="J53" i="48"/>
  <c r="J54" i="48"/>
  <c r="J56" i="48"/>
  <c r="G31" i="21"/>
  <c r="I265" i="53"/>
  <c r="I266" i="53"/>
  <c r="I267" i="53"/>
  <c r="I268" i="53"/>
  <c r="I273" i="53"/>
  <c r="G32" i="21"/>
  <c r="I180" i="84"/>
  <c r="I181" i="84"/>
  <c r="I185" i="84"/>
  <c r="G33" i="21"/>
  <c r="J4" i="22"/>
  <c r="J8" i="22"/>
  <c r="J9" i="22"/>
  <c r="J10" i="22"/>
  <c r="J11" i="22"/>
  <c r="J12" i="22"/>
  <c r="J13" i="22"/>
  <c r="J14" i="22"/>
  <c r="J15" i="22"/>
  <c r="J16" i="22"/>
  <c r="J17" i="22"/>
  <c r="J18" i="22"/>
  <c r="J19" i="22"/>
  <c r="J20" i="22"/>
  <c r="J21" i="22"/>
  <c r="J22" i="22"/>
  <c r="J23" i="22"/>
  <c r="J24" i="22"/>
  <c r="G35" i="21"/>
  <c r="G36" i="21"/>
  <c r="G38" i="21"/>
  <c r="G40" i="21"/>
  <c r="H51" i="22"/>
  <c r="H45" i="22"/>
  <c r="H39" i="22"/>
  <c r="H57" i="22"/>
  <c r="H63" i="22"/>
  <c r="H67" i="22"/>
  <c r="G42" i="21"/>
  <c r="G43" i="21"/>
  <c r="G45" i="21"/>
  <c r="F69" i="23"/>
  <c r="E69" i="23"/>
  <c r="G69" i="23"/>
  <c r="C70" i="23"/>
  <c r="D70" i="23"/>
  <c r="F70" i="23"/>
  <c r="E70" i="23"/>
  <c r="G70" i="23"/>
  <c r="C71" i="23"/>
  <c r="D71" i="23"/>
  <c r="F71" i="23"/>
  <c r="E71" i="23"/>
  <c r="G71" i="23"/>
  <c r="C72" i="23"/>
  <c r="D72" i="23"/>
  <c r="F72" i="23"/>
  <c r="E72" i="23"/>
  <c r="G72" i="23"/>
  <c r="C73" i="23"/>
  <c r="D73" i="23"/>
  <c r="F73" i="23"/>
  <c r="E73" i="23"/>
  <c r="G73" i="23"/>
  <c r="C74" i="23"/>
  <c r="D74" i="23"/>
  <c r="F74" i="23"/>
  <c r="E74" i="23"/>
  <c r="G74" i="23"/>
  <c r="C75" i="23"/>
  <c r="D75" i="23"/>
  <c r="F75" i="23"/>
  <c r="E75" i="23"/>
  <c r="G75" i="23"/>
  <c r="C76" i="23"/>
  <c r="D76" i="23"/>
  <c r="F76" i="23"/>
  <c r="E76" i="23"/>
  <c r="G76" i="23"/>
  <c r="C77" i="23"/>
  <c r="D77" i="23"/>
  <c r="F77" i="23"/>
  <c r="E77" i="23"/>
  <c r="G77" i="23"/>
  <c r="C78" i="23"/>
  <c r="D78" i="23"/>
  <c r="F78" i="23"/>
  <c r="E78" i="23"/>
  <c r="G78" i="23"/>
  <c r="C79" i="23"/>
  <c r="D79" i="23"/>
  <c r="F79" i="23"/>
  <c r="E79" i="23"/>
  <c r="G79" i="23"/>
  <c r="C80" i="23"/>
  <c r="D80" i="23"/>
  <c r="F80" i="23"/>
  <c r="E80" i="23"/>
  <c r="G80" i="23"/>
  <c r="C81" i="23"/>
  <c r="D81" i="23"/>
  <c r="H26" i="68"/>
  <c r="H11" i="68"/>
  <c r="H27" i="68"/>
  <c r="H28" i="68"/>
  <c r="G47" i="21"/>
  <c r="G49" i="21"/>
  <c r="H58" i="29"/>
  <c r="H8" i="21"/>
  <c r="H9" i="21"/>
  <c r="H10" i="21"/>
  <c r="H11" i="21"/>
  <c r="H12" i="21"/>
  <c r="H13" i="21"/>
  <c r="H15" i="21"/>
  <c r="H18" i="21"/>
  <c r="H19" i="21"/>
  <c r="H20" i="21"/>
  <c r="H21" i="21"/>
  <c r="H22" i="21"/>
  <c r="H23" i="21"/>
  <c r="H25" i="21"/>
  <c r="J294" i="55"/>
  <c r="J295" i="55"/>
  <c r="J296" i="55"/>
  <c r="J301" i="55"/>
  <c r="H28" i="21"/>
  <c r="J172" i="72"/>
  <c r="J177" i="72"/>
  <c r="H29" i="21"/>
  <c r="J38" i="42"/>
  <c r="J39" i="42"/>
  <c r="J40" i="42"/>
  <c r="J41" i="42"/>
  <c r="J44" i="42"/>
  <c r="H30" i="21"/>
  <c r="K52" i="48"/>
  <c r="K53" i="48"/>
  <c r="K54" i="48"/>
  <c r="K56" i="48"/>
  <c r="H31" i="21"/>
  <c r="J265" i="53"/>
  <c r="J266" i="53"/>
  <c r="J267" i="53"/>
  <c r="J268" i="53"/>
  <c r="J273" i="53"/>
  <c r="H32" i="21"/>
  <c r="J180" i="84"/>
  <c r="J181" i="84"/>
  <c r="J185" i="84"/>
  <c r="H33" i="21"/>
  <c r="K4" i="22"/>
  <c r="K8" i="22"/>
  <c r="K9" i="22"/>
  <c r="K10" i="22"/>
  <c r="K11" i="22"/>
  <c r="K12" i="22"/>
  <c r="K13" i="22"/>
  <c r="K14" i="22"/>
  <c r="K15" i="22"/>
  <c r="K16" i="22"/>
  <c r="K17" i="22"/>
  <c r="K18" i="22"/>
  <c r="K19" i="22"/>
  <c r="K20" i="22"/>
  <c r="K21" i="22"/>
  <c r="K22" i="22"/>
  <c r="K23" i="22"/>
  <c r="K24" i="22"/>
  <c r="H35" i="21"/>
  <c r="H36" i="21"/>
  <c r="H38" i="21"/>
  <c r="H40" i="21"/>
  <c r="I51" i="22"/>
  <c r="I45" i="22"/>
  <c r="I39" i="22"/>
  <c r="I57" i="22"/>
  <c r="I63" i="22"/>
  <c r="I67" i="22"/>
  <c r="H42" i="21"/>
  <c r="H43" i="21"/>
  <c r="H45" i="21"/>
  <c r="F81" i="23"/>
  <c r="E81" i="23"/>
  <c r="G81" i="23"/>
  <c r="C82" i="23"/>
  <c r="D82" i="23"/>
  <c r="F82" i="23"/>
  <c r="E82" i="23"/>
  <c r="G82" i="23"/>
  <c r="C83" i="23"/>
  <c r="D83" i="23"/>
  <c r="F83" i="23"/>
  <c r="E83" i="23"/>
  <c r="G83" i="23"/>
  <c r="C84" i="23"/>
  <c r="D84" i="23"/>
  <c r="F84" i="23"/>
  <c r="E84" i="23"/>
  <c r="G84" i="23"/>
  <c r="C85" i="23"/>
  <c r="D85" i="23"/>
  <c r="F85" i="23"/>
  <c r="E85" i="23"/>
  <c r="G85" i="23"/>
  <c r="C86" i="23"/>
  <c r="D86" i="23"/>
  <c r="F86" i="23"/>
  <c r="E86" i="23"/>
  <c r="G86" i="23"/>
  <c r="C87" i="23"/>
  <c r="D87" i="23"/>
  <c r="F87" i="23"/>
  <c r="E87" i="23"/>
  <c r="G87" i="23"/>
  <c r="C88" i="23"/>
  <c r="D88" i="23"/>
  <c r="F88" i="23"/>
  <c r="E88" i="23"/>
  <c r="G88" i="23"/>
  <c r="C89" i="23"/>
  <c r="D89" i="23"/>
  <c r="F89" i="23"/>
  <c r="E89" i="23"/>
  <c r="G89" i="23"/>
  <c r="C90" i="23"/>
  <c r="D90" i="23"/>
  <c r="F90" i="23"/>
  <c r="E90" i="23"/>
  <c r="G90" i="23"/>
  <c r="C91" i="23"/>
  <c r="D91" i="23"/>
  <c r="F91" i="23"/>
  <c r="E91" i="23"/>
  <c r="G91" i="23"/>
  <c r="C92" i="23"/>
  <c r="D92" i="23"/>
  <c r="F92" i="23"/>
  <c r="E92" i="23"/>
  <c r="G92" i="23"/>
  <c r="C93" i="23"/>
  <c r="D93" i="23"/>
  <c r="I26" i="68"/>
  <c r="I11" i="68"/>
  <c r="I27" i="68"/>
  <c r="I28" i="68"/>
  <c r="H47" i="21"/>
  <c r="H49" i="21"/>
  <c r="I58" i="29"/>
  <c r="B8" i="21"/>
  <c r="B9" i="21"/>
  <c r="B10" i="21"/>
  <c r="B11" i="21"/>
  <c r="B12" i="21"/>
  <c r="B13" i="21"/>
  <c r="B15" i="21"/>
  <c r="B18" i="21"/>
  <c r="B19" i="21"/>
  <c r="B20" i="21"/>
  <c r="B21" i="21"/>
  <c r="B22" i="21"/>
  <c r="B23" i="21"/>
  <c r="B25" i="21"/>
  <c r="D294" i="55"/>
  <c r="D295" i="55"/>
  <c r="D296" i="55"/>
  <c r="D301" i="55"/>
  <c r="B28" i="21"/>
  <c r="D172" i="72"/>
  <c r="D173" i="72"/>
  <c r="D174" i="72"/>
  <c r="D177" i="72"/>
  <c r="B29" i="21"/>
  <c r="D38" i="42"/>
  <c r="D39" i="42"/>
  <c r="D41" i="42"/>
  <c r="D44" i="42"/>
  <c r="B30" i="21"/>
  <c r="E52" i="48"/>
  <c r="E53" i="48"/>
  <c r="E54" i="48"/>
  <c r="E56" i="48"/>
  <c r="B31" i="21"/>
  <c r="D265" i="53"/>
  <c r="D266" i="53"/>
  <c r="D267" i="53"/>
  <c r="D268" i="53"/>
  <c r="D273" i="53"/>
  <c r="B32" i="21"/>
  <c r="D180" i="84"/>
  <c r="D181" i="84"/>
  <c r="D185" i="84"/>
  <c r="B33" i="21"/>
  <c r="E8" i="22"/>
  <c r="E9" i="22"/>
  <c r="E10" i="22"/>
  <c r="E11" i="22"/>
  <c r="E12" i="22"/>
  <c r="E13" i="22"/>
  <c r="E14" i="22"/>
  <c r="E15" i="22"/>
  <c r="E16" i="22"/>
  <c r="E17" i="22"/>
  <c r="E18" i="22"/>
  <c r="E19" i="22"/>
  <c r="E20" i="22"/>
  <c r="E21" i="22"/>
  <c r="E22" i="22"/>
  <c r="E23" i="22"/>
  <c r="E24" i="22"/>
  <c r="B35" i="21"/>
  <c r="B36" i="21"/>
  <c r="B38" i="21"/>
  <c r="B40" i="21"/>
  <c r="C51" i="22"/>
  <c r="C45" i="22"/>
  <c r="C39" i="22"/>
  <c r="C57" i="22"/>
  <c r="C63" i="22"/>
  <c r="C67" i="22"/>
  <c r="B42" i="21"/>
  <c r="C87" i="22"/>
  <c r="B43" i="21"/>
  <c r="B45" i="21"/>
  <c r="D16" i="23"/>
  <c r="D17" i="23"/>
  <c r="D18" i="23"/>
  <c r="D19" i="23"/>
  <c r="D20" i="23"/>
  <c r="D21" i="23"/>
  <c r="C26" i="68"/>
  <c r="C11" i="68"/>
  <c r="C27" i="68"/>
  <c r="C28" i="68"/>
  <c r="B47" i="21"/>
  <c r="B49" i="21"/>
  <c r="C58" i="29"/>
  <c r="D9" i="29"/>
  <c r="J27" i="81"/>
  <c r="J28" i="81"/>
  <c r="K37" i="57"/>
  <c r="L37" i="57"/>
  <c r="K41" i="57"/>
  <c r="L41" i="57"/>
  <c r="K42" i="57"/>
  <c r="L42" i="57"/>
  <c r="K45" i="57"/>
  <c r="L45" i="57"/>
  <c r="K49" i="57"/>
  <c r="L49" i="57"/>
  <c r="K50" i="57"/>
  <c r="L50" i="57"/>
  <c r="K36" i="57"/>
  <c r="L36" i="57"/>
  <c r="K38" i="57"/>
  <c r="L38" i="57"/>
  <c r="K39" i="57"/>
  <c r="L39" i="57"/>
  <c r="K40" i="57"/>
  <c r="L40" i="57"/>
  <c r="K43" i="57"/>
  <c r="L43" i="57"/>
  <c r="K44" i="57"/>
  <c r="L44" i="57"/>
  <c r="K46" i="57"/>
  <c r="L46" i="57"/>
  <c r="K47" i="57"/>
  <c r="L47" i="57"/>
  <c r="K48" i="57"/>
  <c r="L48" i="57"/>
  <c r="K51" i="57"/>
  <c r="L51" i="57"/>
  <c r="K35" i="57"/>
  <c r="L35" i="57"/>
  <c r="J63" i="57"/>
  <c r="K63" i="57"/>
  <c r="K66" i="57"/>
  <c r="L66" i="57"/>
  <c r="K58" i="57"/>
  <c r="L58" i="57"/>
  <c r="K59" i="57"/>
  <c r="L59" i="57"/>
  <c r="K60" i="57"/>
  <c r="L60" i="57"/>
  <c r="K61" i="57"/>
  <c r="L61" i="57"/>
  <c r="K62" i="57"/>
  <c r="L62" i="57"/>
  <c r="K64" i="57"/>
  <c r="L64" i="57"/>
  <c r="K65" i="57"/>
  <c r="L65" i="57"/>
  <c r="K57" i="57"/>
  <c r="L57" i="57"/>
  <c r="O66" i="57"/>
  <c r="L63" i="57"/>
  <c r="L69" i="57"/>
  <c r="N29" i="55"/>
  <c r="N28" i="55"/>
  <c r="B14" i="48"/>
  <c r="B13" i="48"/>
  <c r="B10" i="48"/>
  <c r="B9" i="48"/>
  <c r="B8" i="48"/>
  <c r="A28" i="48"/>
  <c r="O11" i="61"/>
  <c r="V11" i="61"/>
  <c r="B9" i="68"/>
  <c r="C10" i="62"/>
  <c r="C9" i="62"/>
  <c r="C8" i="62"/>
  <c r="C7" i="62"/>
  <c r="C6" i="62"/>
  <c r="C5" i="62"/>
  <c r="A42" i="81"/>
  <c r="A67" i="81"/>
  <c r="A67" i="83"/>
  <c r="A95" i="83"/>
  <c r="A123" i="83"/>
  <c r="A54" i="53"/>
  <c r="A66" i="83"/>
  <c r="A94" i="83"/>
  <c r="A65" i="83"/>
  <c r="A93" i="83"/>
  <c r="A64" i="83"/>
  <c r="A92" i="83"/>
  <c r="C9" i="61"/>
  <c r="C17" i="61"/>
  <c r="V8" i="61"/>
  <c r="V9" i="61"/>
  <c r="V10" i="61"/>
  <c r="V12" i="61"/>
  <c r="V13" i="61"/>
  <c r="U13" i="61"/>
  <c r="U12" i="61"/>
  <c r="U10" i="61"/>
  <c r="U11" i="61"/>
  <c r="U9" i="61"/>
  <c r="O13" i="61"/>
  <c r="P13" i="61"/>
  <c r="Q13" i="61"/>
  <c r="R13" i="61"/>
  <c r="N13" i="61"/>
  <c r="O12" i="61"/>
  <c r="P12" i="61"/>
  <c r="Q12" i="61"/>
  <c r="R12" i="61"/>
  <c r="N12" i="61"/>
  <c r="N11" i="61"/>
  <c r="N10" i="61"/>
  <c r="O10" i="61"/>
  <c r="P10" i="61"/>
  <c r="Q10" i="61"/>
  <c r="R10" i="61"/>
  <c r="O9" i="61"/>
  <c r="P9" i="61"/>
  <c r="Q9" i="61"/>
  <c r="R9" i="61"/>
  <c r="N9" i="61"/>
  <c r="R8" i="61"/>
  <c r="Q8" i="61"/>
  <c r="P8" i="61"/>
  <c r="O8" i="61"/>
  <c r="C15" i="61"/>
  <c r="C16" i="61"/>
  <c r="I176" i="29"/>
  <c r="H176" i="29"/>
  <c r="G176" i="29"/>
  <c r="F176" i="29"/>
  <c r="E176" i="29"/>
  <c r="D176" i="29"/>
  <c r="C176" i="29"/>
  <c r="B131" i="29"/>
  <c r="B146" i="29"/>
  <c r="B161" i="29"/>
  <c r="B176" i="29"/>
  <c r="B130" i="29"/>
  <c r="B145" i="29"/>
  <c r="B160" i="29"/>
  <c r="B175" i="29"/>
  <c r="I161" i="29"/>
  <c r="H161" i="29"/>
  <c r="G161" i="29"/>
  <c r="F161" i="29"/>
  <c r="E161" i="29"/>
  <c r="D161" i="29"/>
  <c r="C161" i="29"/>
  <c r="I146" i="29"/>
  <c r="H146" i="29"/>
  <c r="G146" i="29"/>
  <c r="F146" i="29"/>
  <c r="E146" i="29"/>
  <c r="D146" i="29"/>
  <c r="C146" i="29"/>
  <c r="I131" i="29"/>
  <c r="H131" i="29"/>
  <c r="G131" i="29"/>
  <c r="F131" i="29"/>
  <c r="E131" i="29"/>
  <c r="D131" i="29"/>
  <c r="C131" i="29"/>
  <c r="B129" i="29"/>
  <c r="B144" i="29"/>
  <c r="B159" i="29"/>
  <c r="B174" i="29"/>
  <c r="B128" i="29"/>
  <c r="B127" i="29"/>
  <c r="B126" i="29"/>
  <c r="B141" i="29"/>
  <c r="B156" i="29"/>
  <c r="B171" i="29"/>
  <c r="B125" i="29"/>
  <c r="B140" i="29"/>
  <c r="B155" i="29"/>
  <c r="B170" i="29"/>
  <c r="B37" i="29"/>
  <c r="B36" i="29"/>
  <c r="B35" i="29"/>
  <c r="B34" i="29"/>
  <c r="B33" i="29"/>
  <c r="B32" i="29"/>
  <c r="C52" i="61"/>
  <c r="C51" i="61"/>
  <c r="C50" i="61"/>
  <c r="C49" i="61"/>
  <c r="C48" i="61"/>
  <c r="C47" i="61"/>
  <c r="A23" i="21"/>
  <c r="A33" i="21"/>
  <c r="A156" i="84"/>
  <c r="A155" i="84"/>
  <c r="A154" i="84"/>
  <c r="A54" i="55"/>
  <c r="A111" i="55"/>
  <c r="A163" i="55"/>
  <c r="A222" i="55"/>
  <c r="A179" i="53"/>
  <c r="A243" i="53"/>
  <c r="A70" i="83"/>
  <c r="A69" i="83"/>
  <c r="A97" i="83"/>
  <c r="A68" i="83"/>
  <c r="A96" i="83"/>
  <c r="A63" i="83"/>
  <c r="A91" i="83"/>
  <c r="A62" i="83"/>
  <c r="A90" i="83"/>
  <c r="A118" i="83"/>
  <c r="A49" i="53"/>
  <c r="A61" i="83"/>
  <c r="A89" i="83"/>
  <c r="A60" i="83"/>
  <c r="A88" i="83"/>
  <c r="A116" i="83"/>
  <c r="A47" i="53"/>
  <c r="A168" i="53"/>
  <c r="A235" i="53"/>
  <c r="A59" i="83"/>
  <c r="A87" i="83"/>
  <c r="A58" i="83"/>
  <c r="A86" i="83"/>
  <c r="A57" i="83"/>
  <c r="A85" i="83"/>
  <c r="A113" i="83"/>
  <c r="A44" i="53"/>
  <c r="A56" i="83"/>
  <c r="A84" i="83"/>
  <c r="A55" i="83"/>
  <c r="A83" i="83"/>
  <c r="A54" i="83"/>
  <c r="A82" i="83"/>
  <c r="A53" i="83"/>
  <c r="A81" i="83"/>
  <c r="A52" i="83"/>
  <c r="A80" i="83"/>
  <c r="A51" i="83"/>
  <c r="A79" i="83"/>
  <c r="A50" i="83"/>
  <c r="A78" i="83"/>
  <c r="A49" i="83"/>
  <c r="A77" i="83"/>
  <c r="A105" i="83"/>
  <c r="A36" i="53"/>
  <c r="A48" i="83"/>
  <c r="A76" i="83"/>
  <c r="A47" i="83"/>
  <c r="A75" i="83"/>
  <c r="A46" i="83"/>
  <c r="A74" i="83"/>
  <c r="A32" i="53"/>
  <c r="A153" i="53"/>
  <c r="A220" i="53"/>
  <c r="A31" i="53"/>
  <c r="A84" i="53"/>
  <c r="A62" i="81"/>
  <c r="A61" i="81"/>
  <c r="A86" i="81"/>
  <c r="A111" i="81"/>
  <c r="A29" i="53"/>
  <c r="A150" i="53"/>
  <c r="A217" i="53"/>
  <c r="A60" i="81"/>
  <c r="A43" i="81"/>
  <c r="A68" i="81"/>
  <c r="A14" i="72"/>
  <c r="A38" i="72"/>
  <c r="A62" i="72"/>
  <c r="A34" i="55"/>
  <c r="A91" i="55"/>
  <c r="A143" i="55"/>
  <c r="A202" i="55"/>
  <c r="A256" i="55"/>
  <c r="A39" i="55"/>
  <c r="A45" i="55"/>
  <c r="A102" i="55"/>
  <c r="A154" i="55"/>
  <c r="A213" i="55"/>
  <c r="A267" i="55"/>
  <c r="A47" i="55"/>
  <c r="A104" i="55"/>
  <c r="A156" i="55"/>
  <c r="A215" i="55"/>
  <c r="A269" i="55"/>
  <c r="A51" i="55"/>
  <c r="A108" i="55"/>
  <c r="A160" i="55"/>
  <c r="A219" i="55"/>
  <c r="A273" i="55"/>
  <c r="A57" i="55"/>
  <c r="A114" i="55"/>
  <c r="A166" i="55"/>
  <c r="A225" i="55"/>
  <c r="A276" i="55"/>
  <c r="A279" i="55"/>
  <c r="A280" i="55"/>
  <c r="A96" i="55"/>
  <c r="A148" i="55"/>
  <c r="A207" i="55"/>
  <c r="A261" i="55"/>
  <c r="A255" i="55"/>
  <c r="A254" i="55"/>
  <c r="A30" i="55"/>
  <c r="A87" i="55"/>
  <c r="A139" i="55"/>
  <c r="A197" i="55"/>
  <c r="A252" i="55"/>
  <c r="A59" i="81"/>
  <c r="A28" i="55"/>
  <c r="A85" i="55"/>
  <c r="A137" i="55"/>
  <c r="A195" i="55"/>
  <c r="A250" i="55"/>
  <c r="A29" i="84"/>
  <c r="A60" i="84"/>
  <c r="A121" i="84"/>
  <c r="A27" i="84"/>
  <c r="A58" i="84"/>
  <c r="A119" i="84"/>
  <c r="C40" i="84"/>
  <c r="D40" i="84"/>
  <c r="J97" i="29"/>
  <c r="H88" i="22"/>
  <c r="I88" i="22"/>
  <c r="A62" i="22"/>
  <c r="A63" i="22"/>
  <c r="A64" i="22"/>
  <c r="A65" i="22"/>
  <c r="B142" i="29"/>
  <c r="B157" i="29"/>
  <c r="B172" i="29"/>
  <c r="B143" i="29"/>
  <c r="B158" i="29"/>
  <c r="B173" i="29"/>
  <c r="C65" i="29"/>
  <c r="D65" i="29"/>
  <c r="E65" i="29"/>
  <c r="F65" i="29"/>
  <c r="G65" i="29"/>
  <c r="H65" i="29"/>
  <c r="I65" i="29"/>
  <c r="V12" i="83"/>
  <c r="W12" i="83"/>
  <c r="X12" i="83"/>
  <c r="P12" i="83"/>
  <c r="Q12" i="83"/>
  <c r="R12" i="83"/>
  <c r="S12" i="83"/>
  <c r="T12" i="83"/>
  <c r="K12" i="81"/>
  <c r="L12" i="81"/>
  <c r="M12" i="81"/>
  <c r="N12" i="81"/>
  <c r="A44" i="81"/>
  <c r="A69" i="81"/>
  <c r="A15" i="72"/>
  <c r="A39" i="72"/>
  <c r="A65" i="72"/>
  <c r="F17" i="48"/>
  <c r="A26" i="53"/>
  <c r="A147" i="53"/>
  <c r="A214" i="53"/>
  <c r="A58" i="81"/>
  <c r="A83" i="81"/>
  <c r="A57" i="81"/>
  <c r="A82" i="81"/>
  <c r="A56" i="81"/>
  <c r="A81" i="81"/>
  <c r="A55" i="81"/>
  <c r="A80" i="81"/>
  <c r="A54" i="81"/>
  <c r="A79" i="81"/>
  <c r="A53" i="81"/>
  <c r="A78" i="81"/>
  <c r="A52" i="81"/>
  <c r="A77" i="81"/>
  <c r="A51" i="81"/>
  <c r="A76" i="81"/>
  <c r="A138" i="53"/>
  <c r="A205" i="53"/>
  <c r="A49" i="81"/>
  <c r="A74" i="81"/>
  <c r="A48" i="81"/>
  <c r="A73" i="81"/>
  <c r="A47" i="81"/>
  <c r="A72" i="81"/>
  <c r="A46" i="81"/>
  <c r="A71" i="81"/>
  <c r="A96" i="81"/>
  <c r="A13" i="53"/>
  <c r="A45" i="81"/>
  <c r="A70" i="81"/>
  <c r="A129" i="53"/>
  <c r="A61" i="53"/>
  <c r="A82" i="53"/>
  <c r="A70" i="53"/>
  <c r="A50" i="81"/>
  <c r="A75" i="81"/>
  <c r="A121" i="72"/>
  <c r="A27" i="55"/>
  <c r="A84" i="55"/>
  <c r="A136" i="55"/>
  <c r="A194" i="55"/>
  <c r="A249" i="55"/>
  <c r="A23" i="55"/>
  <c r="A80" i="55"/>
  <c r="A132" i="55"/>
  <c r="A190" i="55"/>
  <c r="A245" i="55"/>
  <c r="A15" i="55"/>
  <c r="A72" i="55"/>
  <c r="A124" i="55"/>
  <c r="A182" i="55"/>
  <c r="A237" i="55"/>
  <c r="A13" i="55"/>
  <c r="A70" i="55"/>
  <c r="A122" i="55"/>
  <c r="A180" i="55"/>
  <c r="A235" i="55"/>
  <c r="A11" i="55"/>
  <c r="A68" i="55"/>
  <c r="A120" i="55"/>
  <c r="A178" i="55"/>
  <c r="A233" i="55"/>
  <c r="A32" i="55"/>
  <c r="A89" i="55"/>
  <c r="A141" i="55"/>
  <c r="V12" i="81"/>
  <c r="W12" i="81"/>
  <c r="X12" i="81"/>
  <c r="P12" i="81"/>
  <c r="Q12" i="81"/>
  <c r="R12" i="81"/>
  <c r="S12" i="81"/>
  <c r="T12" i="81"/>
  <c r="A32" i="48"/>
  <c r="A31" i="48"/>
  <c r="A30" i="48"/>
  <c r="A29" i="48"/>
  <c r="B98" i="29"/>
  <c r="B97" i="29"/>
  <c r="B96" i="29"/>
  <c r="B95" i="29"/>
  <c r="A20" i="21"/>
  <c r="A30" i="21"/>
  <c r="A19" i="21"/>
  <c r="A29" i="21"/>
  <c r="A18" i="21"/>
  <c r="A28" i="21"/>
  <c r="A21" i="21"/>
  <c r="A31" i="21"/>
  <c r="A22" i="21"/>
  <c r="A32" i="21"/>
  <c r="H28" i="69"/>
  <c r="B16" i="68"/>
  <c r="B15" i="68"/>
  <c r="A251" i="53"/>
  <c r="A250" i="53"/>
  <c r="A249" i="53"/>
  <c r="A247" i="53"/>
  <c r="A246" i="53"/>
  <c r="A245" i="53"/>
  <c r="A244" i="53"/>
  <c r="A195" i="53"/>
  <c r="A84" i="81"/>
  <c r="A109" i="81"/>
  <c r="A27" i="53"/>
  <c r="A148" i="53"/>
  <c r="A215" i="53"/>
  <c r="A53" i="55"/>
  <c r="A110" i="55"/>
  <c r="A162" i="55"/>
  <c r="A221" i="55"/>
  <c r="A38" i="55"/>
  <c r="A95" i="55"/>
  <c r="A147" i="55"/>
  <c r="A206" i="55"/>
  <c r="A260" i="55"/>
  <c r="A36" i="55"/>
  <c r="A93" i="55"/>
  <c r="A145" i="55"/>
  <c r="A204" i="55"/>
  <c r="A258" i="55"/>
  <c r="A25" i="55"/>
  <c r="A82" i="55"/>
  <c r="A134" i="55"/>
  <c r="A192" i="55"/>
  <c r="A247" i="55"/>
  <c r="H61" i="29"/>
  <c r="A46" i="55"/>
  <c r="A103" i="55"/>
  <c r="A155" i="55"/>
  <c r="A214" i="55"/>
  <c r="A268" i="55"/>
  <c r="A58" i="55"/>
  <c r="A115" i="55"/>
  <c r="A167" i="55"/>
  <c r="A226" i="55"/>
  <c r="A277" i="55"/>
  <c r="A41" i="55"/>
  <c r="A98" i="55"/>
  <c r="A150" i="55"/>
  <c r="A209" i="55"/>
  <c r="A263" i="55"/>
  <c r="A55" i="55"/>
  <c r="A112" i="55"/>
  <c r="A164" i="55"/>
  <c r="A223" i="55"/>
  <c r="A85" i="53"/>
  <c r="A49" i="55"/>
  <c r="A106" i="55"/>
  <c r="A158" i="55"/>
  <c r="A217" i="55"/>
  <c r="A271" i="55"/>
  <c r="A42" i="55"/>
  <c r="A99" i="55"/>
  <c r="A151" i="55"/>
  <c r="A210" i="55"/>
  <c r="A264" i="55"/>
  <c r="A17" i="55"/>
  <c r="A74" i="55"/>
  <c r="A126" i="55"/>
  <c r="A184" i="55"/>
  <c r="A239" i="55"/>
  <c r="A80" i="53"/>
  <c r="A152" i="53"/>
  <c r="A219" i="53"/>
  <c r="E88" i="22"/>
  <c r="A37" i="55"/>
  <c r="A94" i="55"/>
  <c r="A146" i="55"/>
  <c r="A205" i="55"/>
  <c r="A259" i="55"/>
  <c r="A34" i="84"/>
  <c r="A62" i="84"/>
  <c r="A123" i="84"/>
  <c r="A93" i="81"/>
  <c r="A10" i="53"/>
  <c r="A63" i="53"/>
  <c r="C41" i="84"/>
  <c r="C44" i="84"/>
  <c r="A52" i="55"/>
  <c r="A109" i="55"/>
  <c r="A161" i="55"/>
  <c r="A220" i="55"/>
  <c r="A274" i="55"/>
  <c r="I97" i="29"/>
  <c r="A12" i="55"/>
  <c r="A69" i="55"/>
  <c r="A121" i="55"/>
  <c r="A179" i="55"/>
  <c r="A234" i="55"/>
  <c r="A109" i="83"/>
  <c r="A40" i="53"/>
  <c r="A20" i="84"/>
  <c r="A51" i="84"/>
  <c r="A94" i="84"/>
  <c r="A98" i="81"/>
  <c r="A15" i="53"/>
  <c r="A136" i="53"/>
  <c r="A203" i="53"/>
  <c r="A19" i="72"/>
  <c r="A43" i="72"/>
  <c r="A80" i="72"/>
  <c r="A21" i="55"/>
  <c r="A78" i="55"/>
  <c r="A130" i="55"/>
  <c r="A188" i="55"/>
  <c r="A243" i="55"/>
  <c r="A30" i="72"/>
  <c r="A54" i="72"/>
  <c r="A115" i="72"/>
  <c r="A44" i="55"/>
  <c r="A101" i="55"/>
  <c r="A153" i="55"/>
  <c r="A212" i="55"/>
  <c r="A266" i="55"/>
  <c r="I12" i="29"/>
  <c r="A125" i="83"/>
  <c r="A56" i="53"/>
  <c r="A36" i="84"/>
  <c r="A64" i="84"/>
  <c r="A131" i="84"/>
  <c r="A100" i="81"/>
  <c r="A21" i="72"/>
  <c r="A45" i="72"/>
  <c r="A87" i="72"/>
  <c r="A25" i="72"/>
  <c r="A49" i="72"/>
  <c r="A100" i="72"/>
  <c r="A104" i="81"/>
  <c r="A21" i="53"/>
  <c r="A74" i="53"/>
  <c r="A120" i="83"/>
  <c r="A51" i="53"/>
  <c r="A31" i="84"/>
  <c r="A102" i="81"/>
  <c r="A19" i="53"/>
  <c r="A140" i="53"/>
  <c r="A207" i="53"/>
  <c r="A23" i="72"/>
  <c r="A47" i="72"/>
  <c r="A94" i="72"/>
  <c r="A106" i="81"/>
  <c r="A23" i="53"/>
  <c r="A144" i="53"/>
  <c r="A211" i="53"/>
  <c r="A27" i="72"/>
  <c r="A51" i="72"/>
  <c r="A106" i="72"/>
  <c r="A29" i="72"/>
  <c r="A53" i="72"/>
  <c r="A112" i="72"/>
  <c r="A108" i="81"/>
  <c r="A25" i="53"/>
  <c r="A78" i="53"/>
  <c r="A17" i="72"/>
  <c r="A41" i="72"/>
  <c r="A72" i="72"/>
  <c r="A79" i="53"/>
  <c r="A24" i="84"/>
  <c r="A55" i="84"/>
  <c r="A110" i="84"/>
  <c r="A48" i="55"/>
  <c r="A105" i="55"/>
  <c r="A157" i="55"/>
  <c r="A216" i="55"/>
  <c r="A270" i="55"/>
  <c r="A40" i="55"/>
  <c r="A97" i="55"/>
  <c r="A149" i="55"/>
  <c r="A208" i="55"/>
  <c r="A262" i="55"/>
  <c r="A43" i="55"/>
  <c r="A100" i="55"/>
  <c r="A152" i="55"/>
  <c r="A211" i="55"/>
  <c r="A265" i="55"/>
  <c r="A35" i="55"/>
  <c r="A92" i="55"/>
  <c r="A144" i="55"/>
  <c r="A203" i="55"/>
  <c r="A257" i="55"/>
  <c r="A19" i="55"/>
  <c r="A76" i="55"/>
  <c r="A128" i="55"/>
  <c r="A186" i="55"/>
  <c r="A241" i="55"/>
  <c r="A16" i="84"/>
  <c r="A47" i="84"/>
  <c r="A79" i="84"/>
  <c r="A50" i="55"/>
  <c r="A107" i="55"/>
  <c r="A159" i="55"/>
  <c r="A218" i="55"/>
  <c r="A272" i="55"/>
  <c r="A56" i="55"/>
  <c r="A113" i="55"/>
  <c r="A165" i="55"/>
  <c r="A224" i="55"/>
  <c r="A275" i="55"/>
  <c r="A97" i="81"/>
  <c r="A14" i="53"/>
  <c r="A18" i="72"/>
  <c r="A42" i="72"/>
  <c r="A77" i="72"/>
  <c r="A72" i="53"/>
  <c r="A175" i="53"/>
  <c r="A239" i="53"/>
  <c r="A107" i="53"/>
  <c r="A134" i="53"/>
  <c r="A201" i="53"/>
  <c r="A66" i="53"/>
  <c r="A99" i="81"/>
  <c r="A16" i="53"/>
  <c r="A20" i="72"/>
  <c r="A44" i="72"/>
  <c r="A83" i="72"/>
  <c r="A170" i="53"/>
  <c r="A237" i="53"/>
  <c r="A102" i="53"/>
  <c r="A95" i="81"/>
  <c r="A12" i="53"/>
  <c r="A16" i="72"/>
  <c r="A40" i="72"/>
  <c r="A69" i="72"/>
  <c r="A142" i="53"/>
  <c r="A209" i="53"/>
  <c r="A22" i="72"/>
  <c r="A46" i="72"/>
  <c r="A91" i="72"/>
  <c r="A101" i="81"/>
  <c r="A18" i="53"/>
  <c r="A103" i="81"/>
  <c r="A20" i="53"/>
  <c r="A24" i="72"/>
  <c r="A48" i="72"/>
  <c r="A97" i="72"/>
  <c r="A26" i="72"/>
  <c r="A50" i="72"/>
  <c r="A103" i="72"/>
  <c r="A105" i="81"/>
  <c r="A22" i="53"/>
  <c r="A107" i="81"/>
  <c r="A24" i="53"/>
  <c r="A28" i="72"/>
  <c r="A52" i="72"/>
  <c r="A109" i="72"/>
  <c r="A106" i="83"/>
  <c r="A37" i="53"/>
  <c r="A17" i="84"/>
  <c r="A48" i="84"/>
  <c r="A83" i="84"/>
  <c r="A114" i="83"/>
  <c r="A45" i="53"/>
  <c r="A25" i="84"/>
  <c r="A56" i="84"/>
  <c r="A114" i="84"/>
  <c r="A177" i="53"/>
  <c r="A241" i="53"/>
  <c r="A109" i="53"/>
  <c r="A16" i="55"/>
  <c r="A73" i="55"/>
  <c r="A125" i="55"/>
  <c r="A183" i="55"/>
  <c r="A238" i="55"/>
  <c r="A20" i="55"/>
  <c r="A77" i="55"/>
  <c r="A129" i="55"/>
  <c r="A187" i="55"/>
  <c r="A242" i="55"/>
  <c r="A24" i="55"/>
  <c r="A81" i="55"/>
  <c r="A133" i="55"/>
  <c r="A191" i="55"/>
  <c r="A246" i="55"/>
  <c r="G88" i="22"/>
  <c r="A100" i="53"/>
  <c r="A157" i="53"/>
  <c r="A224" i="53"/>
  <c r="A89" i="53"/>
  <c r="A19" i="84"/>
  <c r="A50" i="84"/>
  <c r="A91" i="84"/>
  <c r="A108" i="83"/>
  <c r="A39" i="53"/>
  <c r="A165" i="53"/>
  <c r="A232" i="53"/>
  <c r="A97" i="53"/>
  <c r="A103" i="83"/>
  <c r="A34" i="53"/>
  <c r="A14" i="84"/>
  <c r="A45" i="84"/>
  <c r="A71" i="84"/>
  <c r="A92" i="81"/>
  <c r="A9" i="53"/>
  <c r="A13" i="72"/>
  <c r="A37" i="72"/>
  <c r="A58" i="72"/>
  <c r="A94" i="81"/>
  <c r="A11" i="53"/>
  <c r="A85" i="81"/>
  <c r="A29" i="55"/>
  <c r="A86" i="55"/>
  <c r="A138" i="55"/>
  <c r="A196" i="55"/>
  <c r="A251" i="55"/>
  <c r="A13" i="84"/>
  <c r="A44" i="84"/>
  <c r="A67" i="84"/>
  <c r="A102" i="83"/>
  <c r="A33" i="53"/>
  <c r="A107" i="83"/>
  <c r="A38" i="53"/>
  <c r="A18" i="84"/>
  <c r="A49" i="84"/>
  <c r="A87" i="84"/>
  <c r="A110" i="83"/>
  <c r="A41" i="53"/>
  <c r="A21" i="84"/>
  <c r="A52" i="84"/>
  <c r="A98" i="84"/>
  <c r="A115" i="83"/>
  <c r="A46" i="53"/>
  <c r="A26" i="84"/>
  <c r="A57" i="84"/>
  <c r="A118" i="84"/>
  <c r="A172" i="53"/>
  <c r="A104" i="53"/>
  <c r="A121" i="83"/>
  <c r="A52" i="53"/>
  <c r="A32" i="84"/>
  <c r="E40" i="84"/>
  <c r="D41" i="84"/>
  <c r="A87" i="81"/>
  <c r="A112" i="81"/>
  <c r="A30" i="53"/>
  <c r="A31" i="55"/>
  <c r="A88" i="55"/>
  <c r="A140" i="55"/>
  <c r="A198" i="55"/>
  <c r="A253" i="55"/>
  <c r="A111" i="83"/>
  <c r="A42" i="53"/>
  <c r="A22" i="84"/>
  <c r="A53" i="84"/>
  <c r="A102" i="84"/>
  <c r="A119" i="83"/>
  <c r="A50" i="53"/>
  <c r="A30" i="84"/>
  <c r="A61" i="84"/>
  <c r="A122" i="84"/>
  <c r="A98" i="83"/>
  <c r="A59" i="55"/>
  <c r="A116" i="55"/>
  <c r="A168" i="55"/>
  <c r="A227" i="55"/>
  <c r="A278" i="55"/>
  <c r="A14" i="55"/>
  <c r="A71" i="55"/>
  <c r="A123" i="55"/>
  <c r="A181" i="55"/>
  <c r="A236" i="55"/>
  <c r="A18" i="55"/>
  <c r="A75" i="55"/>
  <c r="A127" i="55"/>
  <c r="A185" i="55"/>
  <c r="A240" i="55"/>
  <c r="A22" i="55"/>
  <c r="A79" i="55"/>
  <c r="A131" i="55"/>
  <c r="A189" i="55"/>
  <c r="A244" i="55"/>
  <c r="A26" i="55"/>
  <c r="A83" i="55"/>
  <c r="A135" i="55"/>
  <c r="A193" i="55"/>
  <c r="A248" i="55"/>
  <c r="J12" i="29"/>
  <c r="I61" i="29"/>
  <c r="A15" i="84"/>
  <c r="A46" i="84"/>
  <c r="A75" i="84"/>
  <c r="A104" i="83"/>
  <c r="A35" i="53"/>
  <c r="A161" i="53"/>
  <c r="A228" i="53"/>
  <c r="A93" i="53"/>
  <c r="A23" i="84"/>
  <c r="A54" i="84"/>
  <c r="A106" i="84"/>
  <c r="A112" i="83"/>
  <c r="A43" i="53"/>
  <c r="A117" i="83"/>
  <c r="A48" i="53"/>
  <c r="A28" i="84"/>
  <c r="A59" i="84"/>
  <c r="A120" i="84"/>
  <c r="A124" i="83"/>
  <c r="A55" i="53"/>
  <c r="A35" i="84"/>
  <c r="A63" i="84"/>
  <c r="A127" i="84"/>
  <c r="V16" i="61"/>
  <c r="A122" i="83"/>
  <c r="A53" i="53"/>
  <c r="A33" i="84"/>
  <c r="C52" i="22"/>
  <c r="P11" i="61"/>
  <c r="Q11" i="61"/>
  <c r="O16" i="61"/>
  <c r="D22" i="81"/>
  <c r="F22" i="81"/>
  <c r="C20" i="68"/>
  <c r="E61" i="29"/>
  <c r="F12" i="29"/>
  <c r="F97" i="29"/>
  <c r="A146" i="53"/>
  <c r="A213" i="53"/>
  <c r="A131" i="53"/>
  <c r="A198" i="53"/>
  <c r="G61" i="29"/>
  <c r="C19" i="68"/>
  <c r="A76" i="53"/>
  <c r="P16" i="61"/>
  <c r="C17" i="68"/>
  <c r="A68" i="53"/>
  <c r="C18" i="68"/>
  <c r="H12" i="29"/>
  <c r="H97" i="29"/>
  <c r="L50" i="22"/>
  <c r="L51" i="22"/>
  <c r="L53" i="22"/>
  <c r="M50" i="22"/>
  <c r="M51" i="22"/>
  <c r="M53" i="22"/>
  <c r="N50" i="22"/>
  <c r="N51" i="22"/>
  <c r="N53" i="22"/>
  <c r="O50" i="22"/>
  <c r="D142" i="29"/>
  <c r="C127" i="29"/>
  <c r="C34" i="29"/>
  <c r="C172" i="29"/>
  <c r="C157" i="29"/>
  <c r="C142" i="29"/>
  <c r="A71" i="53"/>
  <c r="A139" i="53"/>
  <c r="A206" i="53"/>
  <c r="A174" i="53"/>
  <c r="A106" i="53"/>
  <c r="A126" i="83"/>
  <c r="A57" i="53"/>
  <c r="A37" i="84"/>
  <c r="A65" i="84"/>
  <c r="A135" i="84"/>
  <c r="A95" i="53"/>
  <c r="A163" i="53"/>
  <c r="A230" i="53"/>
  <c r="E41" i="84"/>
  <c r="F40" i="84"/>
  <c r="A162" i="53"/>
  <c r="A229" i="53"/>
  <c r="A94" i="53"/>
  <c r="A64" i="53"/>
  <c r="A132" i="53"/>
  <c r="A199" i="53"/>
  <c r="A87" i="53"/>
  <c r="A155" i="53"/>
  <c r="A222" i="53"/>
  <c r="A158" i="53"/>
  <c r="A225" i="53"/>
  <c r="A90" i="53"/>
  <c r="A65" i="53"/>
  <c r="A133" i="53"/>
  <c r="A200" i="53"/>
  <c r="A176" i="53"/>
  <c r="A240" i="53"/>
  <c r="A108" i="53"/>
  <c r="A169" i="53"/>
  <c r="A236" i="53"/>
  <c r="A101" i="53"/>
  <c r="A160" i="53"/>
  <c r="A227" i="53"/>
  <c r="A92" i="53"/>
  <c r="A154" i="53"/>
  <c r="A221" i="53"/>
  <c r="A86" i="53"/>
  <c r="A143" i="53"/>
  <c r="A210" i="53"/>
  <c r="A75" i="53"/>
  <c r="C53" i="22"/>
  <c r="D50" i="22"/>
  <c r="D52" i="22"/>
  <c r="A164" i="53"/>
  <c r="A231" i="53"/>
  <c r="A96" i="53"/>
  <c r="A156" i="53"/>
  <c r="A223" i="53"/>
  <c r="A88" i="53"/>
  <c r="A103" i="53"/>
  <c r="A171" i="53"/>
  <c r="A238" i="53"/>
  <c r="A151" i="53"/>
  <c r="A218" i="53"/>
  <c r="A83" i="53"/>
  <c r="A173" i="53"/>
  <c r="A105" i="53"/>
  <c r="A99" i="53"/>
  <c r="A167" i="53"/>
  <c r="A234" i="53"/>
  <c r="A91" i="53"/>
  <c r="A159" i="53"/>
  <c r="A226" i="53"/>
  <c r="A110" i="81"/>
  <c r="A28" i="53"/>
  <c r="A31" i="72"/>
  <c r="A55" i="72"/>
  <c r="A118" i="72"/>
  <c r="A62" i="53"/>
  <c r="A130" i="53"/>
  <c r="A197" i="53"/>
  <c r="A166" i="53"/>
  <c r="A233" i="53"/>
  <c r="A98" i="53"/>
  <c r="A145" i="53"/>
  <c r="A212" i="53"/>
  <c r="A77" i="53"/>
  <c r="A141" i="53"/>
  <c r="A208" i="53"/>
  <c r="A73" i="53"/>
  <c r="A137" i="53"/>
  <c r="A204" i="53"/>
  <c r="A69" i="53"/>
  <c r="A67" i="53"/>
  <c r="A135" i="53"/>
  <c r="A202" i="53"/>
  <c r="C64" i="22"/>
  <c r="B100" i="81"/>
  <c r="B37" i="72"/>
  <c r="J14" i="81"/>
  <c r="K14" i="81"/>
  <c r="L14" i="81"/>
  <c r="M14" i="81"/>
  <c r="N14" i="81"/>
  <c r="C88" i="22"/>
  <c r="F88" i="22"/>
  <c r="D88" i="22"/>
  <c r="Q16" i="61"/>
  <c r="R11" i="61"/>
  <c r="R16" i="61"/>
  <c r="B18" i="69"/>
  <c r="C18" i="69"/>
  <c r="D18" i="69"/>
  <c r="E18" i="69"/>
  <c r="F18" i="69"/>
  <c r="G18" i="69"/>
  <c r="H18" i="69"/>
  <c r="J17" i="69"/>
  <c r="D46" i="42"/>
  <c r="D48" i="42"/>
  <c r="L56" i="22"/>
  <c r="C58" i="22"/>
  <c r="F46" i="42"/>
  <c r="F48" i="42"/>
  <c r="C15" i="68"/>
  <c r="C100" i="81"/>
  <c r="D100" i="81"/>
  <c r="E100" i="81"/>
  <c r="F100" i="81"/>
  <c r="G100" i="81"/>
  <c r="H100" i="81"/>
  <c r="C17" i="53"/>
  <c r="L38" i="22"/>
  <c r="E52" i="22"/>
  <c r="F52" i="22"/>
  <c r="G52" i="22"/>
  <c r="H52" i="22"/>
  <c r="I52" i="22"/>
  <c r="L52" i="22"/>
  <c r="M52" i="22"/>
  <c r="N52" i="22"/>
  <c r="L62" i="22"/>
  <c r="L63" i="22"/>
  <c r="L64" i="22"/>
  <c r="D64" i="22"/>
  <c r="E46" i="42"/>
  <c r="E48" i="42"/>
  <c r="C65" i="22"/>
  <c r="D62" i="22"/>
  <c r="D172" i="29"/>
  <c r="D127" i="29"/>
  <c r="D157" i="29"/>
  <c r="D34" i="29"/>
  <c r="D53" i="22"/>
  <c r="E50" i="22"/>
  <c r="E53" i="22"/>
  <c r="F50" i="22"/>
  <c r="F53" i="22"/>
  <c r="G50" i="22"/>
  <c r="G53" i="22"/>
  <c r="H50" i="22"/>
  <c r="H53" i="22"/>
  <c r="I50" i="22"/>
  <c r="I53" i="22"/>
  <c r="B65" i="84"/>
  <c r="B48" i="84"/>
  <c r="A149" i="53"/>
  <c r="A216" i="53"/>
  <c r="A81" i="53"/>
  <c r="B64" i="84"/>
  <c r="E44" i="84"/>
  <c r="B49" i="84"/>
  <c r="A110" i="53"/>
  <c r="A178" i="53"/>
  <c r="A242" i="53"/>
  <c r="D44" i="84"/>
  <c r="F41" i="84"/>
  <c r="F44" i="84"/>
  <c r="G40" i="84"/>
  <c r="B86" i="81"/>
  <c r="C86" i="81"/>
  <c r="D86" i="81"/>
  <c r="E86" i="81"/>
  <c r="F86" i="81"/>
  <c r="G86" i="81"/>
  <c r="H86" i="81"/>
  <c r="B109" i="81"/>
  <c r="C109" i="81"/>
  <c r="D109" i="81"/>
  <c r="E109" i="81"/>
  <c r="F109" i="81"/>
  <c r="G109" i="81"/>
  <c r="H109" i="81"/>
  <c r="G97" i="29"/>
  <c r="F61" i="29"/>
  <c r="G12" i="29"/>
  <c r="C61" i="29"/>
  <c r="D97" i="29"/>
  <c r="D12" i="29"/>
  <c r="E97" i="29"/>
  <c r="D61" i="29"/>
  <c r="E12" i="29"/>
  <c r="L57" i="22"/>
  <c r="L58" i="22"/>
  <c r="C59" i="22"/>
  <c r="D56" i="22"/>
  <c r="O51" i="22"/>
  <c r="O53" i="22"/>
  <c r="P50" i="22"/>
  <c r="D58" i="22"/>
  <c r="E58" i="22"/>
  <c r="F58" i="22"/>
  <c r="G58" i="22"/>
  <c r="H58" i="22"/>
  <c r="I58" i="22"/>
  <c r="D59" i="22"/>
  <c r="E56" i="22"/>
  <c r="E59" i="22"/>
  <c r="F56" i="22"/>
  <c r="F59" i="22"/>
  <c r="G56" i="22"/>
  <c r="G59" i="22"/>
  <c r="H56" i="22"/>
  <c r="H59" i="22"/>
  <c r="I56" i="22"/>
  <c r="I59" i="22"/>
  <c r="G46" i="42"/>
  <c r="G48" i="42"/>
  <c r="E164" i="29"/>
  <c r="C16" i="68"/>
  <c r="L44" i="22"/>
  <c r="L45" i="22"/>
  <c r="L46" i="22"/>
  <c r="D149" i="29"/>
  <c r="D164" i="29"/>
  <c r="D179" i="29"/>
  <c r="D134" i="29"/>
  <c r="D23" i="68"/>
  <c r="E64" i="22"/>
  <c r="F64" i="22"/>
  <c r="G64" i="22"/>
  <c r="H64" i="22"/>
  <c r="I64" i="22"/>
  <c r="C41" i="22"/>
  <c r="L39" i="22"/>
  <c r="L41" i="22"/>
  <c r="M38" i="22"/>
  <c r="D65" i="22"/>
  <c r="E62" i="22"/>
  <c r="E65" i="22"/>
  <c r="F62" i="22"/>
  <c r="F65" i="22"/>
  <c r="G62" i="22"/>
  <c r="G65" i="22"/>
  <c r="H62" i="22"/>
  <c r="H65" i="22"/>
  <c r="I62" i="22"/>
  <c r="I65" i="22"/>
  <c r="E157" i="29"/>
  <c r="E142" i="29"/>
  <c r="E127" i="29"/>
  <c r="E34" i="29"/>
  <c r="E172" i="29"/>
  <c r="E173" i="29"/>
  <c r="H57" i="48"/>
  <c r="H59" i="48"/>
  <c r="F57" i="48"/>
  <c r="F59" i="48"/>
  <c r="G57" i="48"/>
  <c r="G59" i="48"/>
  <c r="E57" i="48"/>
  <c r="E59" i="48"/>
  <c r="I57" i="48"/>
  <c r="B50" i="84"/>
  <c r="C65" i="84"/>
  <c r="B51" i="84"/>
  <c r="C49" i="84"/>
  <c r="B65" i="83"/>
  <c r="C65" i="83"/>
  <c r="D65" i="83"/>
  <c r="E65" i="83"/>
  <c r="F65" i="83"/>
  <c r="G65" i="83"/>
  <c r="H65" i="83"/>
  <c r="B52" i="84"/>
  <c r="B66" i="83"/>
  <c r="C66" i="83"/>
  <c r="D66" i="83"/>
  <c r="E66" i="83"/>
  <c r="F66" i="83"/>
  <c r="G66" i="83"/>
  <c r="H66" i="83"/>
  <c r="H46" i="42"/>
  <c r="B46" i="84"/>
  <c r="C64" i="84"/>
  <c r="B64" i="83"/>
  <c r="C64" i="83"/>
  <c r="D64" i="83"/>
  <c r="E64" i="83"/>
  <c r="F64" i="83"/>
  <c r="G64" i="83"/>
  <c r="H64" i="83"/>
  <c r="C48" i="84"/>
  <c r="B45" i="84"/>
  <c r="G41" i="84"/>
  <c r="G44" i="84"/>
  <c r="H40" i="84"/>
  <c r="H41" i="84"/>
  <c r="H44" i="84"/>
  <c r="B47" i="84"/>
  <c r="B44" i="84"/>
  <c r="B63" i="84"/>
  <c r="D158" i="29"/>
  <c r="D143" i="29"/>
  <c r="D128" i="29"/>
  <c r="D35" i="29"/>
  <c r="D173" i="29"/>
  <c r="F158" i="29"/>
  <c r="F143" i="29"/>
  <c r="F128" i="29"/>
  <c r="F35" i="29"/>
  <c r="F173" i="29"/>
  <c r="C173" i="29"/>
  <c r="C158" i="29"/>
  <c r="C143" i="29"/>
  <c r="C128" i="29"/>
  <c r="C35" i="29"/>
  <c r="O52" i="22"/>
  <c r="L59" i="22"/>
  <c r="M56" i="22"/>
  <c r="M57" i="22"/>
  <c r="M59" i="22"/>
  <c r="N56" i="22"/>
  <c r="B44" i="72"/>
  <c r="B43" i="72"/>
  <c r="B41" i="72"/>
  <c r="B39" i="72"/>
  <c r="B87" i="81"/>
  <c r="C87" i="81"/>
  <c r="D87" i="81"/>
  <c r="E87" i="81"/>
  <c r="F87" i="81"/>
  <c r="G87" i="81"/>
  <c r="H87" i="81"/>
  <c r="N57" i="22"/>
  <c r="N59" i="22"/>
  <c r="O56" i="22"/>
  <c r="P51" i="22"/>
  <c r="P53" i="22"/>
  <c r="Q50" i="22"/>
  <c r="L65" i="22"/>
  <c r="M62" i="22"/>
  <c r="M25" i="55"/>
  <c r="N25" i="55"/>
  <c r="N140" i="72"/>
  <c r="N139" i="72"/>
  <c r="N142" i="72"/>
  <c r="N141" i="72"/>
  <c r="C66" i="22"/>
  <c r="B13" i="69"/>
  <c r="J16" i="69"/>
  <c r="D14" i="69"/>
  <c r="C46" i="22"/>
  <c r="E149" i="29"/>
  <c r="E179" i="29"/>
  <c r="M27" i="55"/>
  <c r="N27" i="55"/>
  <c r="C149" i="29"/>
  <c r="C164" i="29"/>
  <c r="C23" i="68"/>
  <c r="C179" i="29"/>
  <c r="C47" i="22"/>
  <c r="D44" i="22"/>
  <c r="E134" i="29"/>
  <c r="E23" i="68"/>
  <c r="C134" i="29"/>
  <c r="L67" i="22"/>
  <c r="C98" i="22"/>
  <c r="L47" i="22"/>
  <c r="M44" i="22"/>
  <c r="M66" i="22"/>
  <c r="L40" i="22"/>
  <c r="L68" i="22"/>
  <c r="L66" i="22"/>
  <c r="C40" i="22"/>
  <c r="M58" i="22"/>
  <c r="N58" i="22"/>
  <c r="F172" i="29"/>
  <c r="F142" i="29"/>
  <c r="F127" i="29"/>
  <c r="F157" i="29"/>
  <c r="F34" i="29"/>
  <c r="E143" i="29"/>
  <c r="G143" i="29"/>
  <c r="E128" i="29"/>
  <c r="E158" i="29"/>
  <c r="I59" i="48"/>
  <c r="E35" i="29"/>
  <c r="C46" i="84"/>
  <c r="B60" i="84"/>
  <c r="C63" i="84"/>
  <c r="B61" i="84"/>
  <c r="D48" i="84"/>
  <c r="D64" i="84"/>
  <c r="C52" i="84"/>
  <c r="D49" i="84"/>
  <c r="B58" i="84"/>
  <c r="C47" i="84"/>
  <c r="B59" i="84"/>
  <c r="B56" i="84"/>
  <c r="C51" i="84"/>
  <c r="D65" i="84"/>
  <c r="B55" i="84"/>
  <c r="C50" i="84"/>
  <c r="B54" i="84"/>
  <c r="B57" i="84"/>
  <c r="P52" i="22"/>
  <c r="B50" i="72"/>
  <c r="B49" i="72"/>
  <c r="B55" i="72"/>
  <c r="B53" i="72"/>
  <c r="B64" i="72"/>
  <c r="B71" i="72"/>
  <c r="B79" i="72"/>
  <c r="B48" i="72"/>
  <c r="B46" i="72"/>
  <c r="B51" i="72"/>
  <c r="B54" i="72"/>
  <c r="M31" i="55"/>
  <c r="B52" i="72"/>
  <c r="C39" i="72"/>
  <c r="C41" i="72"/>
  <c r="C43" i="72"/>
  <c r="C44" i="72"/>
  <c r="O57" i="22"/>
  <c r="Q51" i="22"/>
  <c r="Q53" i="22"/>
  <c r="R50" i="22"/>
  <c r="M63" i="22"/>
  <c r="M64" i="22"/>
  <c r="M39" i="22"/>
  <c r="M30" i="55"/>
  <c r="M32" i="55"/>
  <c r="M33" i="55"/>
  <c r="J18" i="69"/>
  <c r="G97" i="22"/>
  <c r="L69" i="22"/>
  <c r="G60" i="29"/>
  <c r="D46" i="22"/>
  <c r="E46" i="22"/>
  <c r="F46" i="22"/>
  <c r="G46" i="22"/>
  <c r="H46" i="22"/>
  <c r="I46" i="22"/>
  <c r="F14" i="69"/>
  <c r="D47" i="22"/>
  <c r="E44" i="22"/>
  <c r="E47" i="22"/>
  <c r="F44" i="22"/>
  <c r="F47" i="22"/>
  <c r="G44" i="22"/>
  <c r="G47" i="22"/>
  <c r="H44" i="22"/>
  <c r="H47" i="22"/>
  <c r="I44" i="22"/>
  <c r="I47" i="22"/>
  <c r="D45" i="29"/>
  <c r="D97" i="22"/>
  <c r="H96" i="29"/>
  <c r="I46" i="42"/>
  <c r="I48" i="42"/>
  <c r="H11" i="29"/>
  <c r="G45" i="29"/>
  <c r="I11" i="29"/>
  <c r="I96" i="29"/>
  <c r="E11" i="29"/>
  <c r="C14" i="69"/>
  <c r="H60" i="29"/>
  <c r="H97" i="22"/>
  <c r="E96" i="29"/>
  <c r="D60" i="29"/>
  <c r="G14" i="69"/>
  <c r="E14" i="69"/>
  <c r="F60" i="29"/>
  <c r="M26" i="55"/>
  <c r="N26" i="55"/>
  <c r="H14" i="69"/>
  <c r="M45" i="22"/>
  <c r="M46" i="22"/>
  <c r="E60" i="29"/>
  <c r="G134" i="29"/>
  <c r="G164" i="29"/>
  <c r="G23" i="68"/>
  <c r="G149" i="29"/>
  <c r="G179" i="29"/>
  <c r="D38" i="22"/>
  <c r="C69" i="22"/>
  <c r="D40" i="22"/>
  <c r="C68" i="22"/>
  <c r="Q52" i="22"/>
  <c r="O58" i="22"/>
  <c r="G158" i="29"/>
  <c r="G173" i="29"/>
  <c r="G35" i="29"/>
  <c r="G128" i="29"/>
  <c r="E64" i="84"/>
  <c r="B61" i="55"/>
  <c r="K57" i="48"/>
  <c r="C57" i="84"/>
  <c r="D169" i="84"/>
  <c r="D50" i="84"/>
  <c r="C56" i="84"/>
  <c r="D47" i="84"/>
  <c r="E49" i="84"/>
  <c r="D52" i="84"/>
  <c r="C61" i="84"/>
  <c r="B53" i="84"/>
  <c r="C58" i="84"/>
  <c r="C53" i="84"/>
  <c r="J57" i="48"/>
  <c r="J59" i="48"/>
  <c r="C54" i="84"/>
  <c r="D63" i="84"/>
  <c r="C60" i="84"/>
  <c r="E65" i="84"/>
  <c r="C59" i="84"/>
  <c r="C55" i="84"/>
  <c r="D51" i="84"/>
  <c r="C45" i="84"/>
  <c r="E48" i="84"/>
  <c r="D46" i="84"/>
  <c r="D43" i="72"/>
  <c r="D41" i="72"/>
  <c r="D39" i="72"/>
  <c r="C79" i="72"/>
  <c r="C71" i="72"/>
  <c r="C64" i="72"/>
  <c r="C37" i="72"/>
  <c r="C52" i="72"/>
  <c r="C54" i="72"/>
  <c r="C51" i="72"/>
  <c r="C46" i="72"/>
  <c r="C48" i="72"/>
  <c r="B96" i="72"/>
  <c r="C50" i="72"/>
  <c r="D44" i="72"/>
  <c r="C53" i="72"/>
  <c r="C55" i="72"/>
  <c r="C49" i="72"/>
  <c r="O59" i="22"/>
  <c r="P56" i="22"/>
  <c r="R51" i="22"/>
  <c r="R53" i="22"/>
  <c r="M65" i="22"/>
  <c r="N62" i="22"/>
  <c r="M41" i="22"/>
  <c r="N38" i="22"/>
  <c r="M40" i="22"/>
  <c r="B14" i="69"/>
  <c r="B15" i="69"/>
  <c r="J11" i="29"/>
  <c r="G11" i="29"/>
  <c r="M67" i="22"/>
  <c r="D98" i="22"/>
  <c r="M47" i="22"/>
  <c r="N44" i="22"/>
  <c r="N45" i="22"/>
  <c r="N46" i="22"/>
  <c r="F97" i="22"/>
  <c r="G96" i="29"/>
  <c r="M68" i="22"/>
  <c r="N39" i="22"/>
  <c r="N40" i="22"/>
  <c r="H179" i="29"/>
  <c r="I60" i="29"/>
  <c r="I97" i="22"/>
  <c r="J96" i="29"/>
  <c r="E45" i="29"/>
  <c r="F11" i="29"/>
  <c r="F96" i="29"/>
  <c r="E97" i="22"/>
  <c r="J46" i="42"/>
  <c r="H149" i="29"/>
  <c r="E40" i="22"/>
  <c r="D68" i="22"/>
  <c r="D66" i="22"/>
  <c r="C13" i="69"/>
  <c r="C15" i="69"/>
  <c r="D41" i="22"/>
  <c r="C97" i="22"/>
  <c r="C45" i="29"/>
  <c r="C60" i="29"/>
  <c r="D96" i="29"/>
  <c r="D11" i="29"/>
  <c r="C61" i="55"/>
  <c r="H127" i="29"/>
  <c r="H172" i="29"/>
  <c r="H142" i="29"/>
  <c r="H34" i="29"/>
  <c r="H157" i="29"/>
  <c r="K59" i="48"/>
  <c r="F64" i="84"/>
  <c r="E169" i="84"/>
  <c r="D55" i="84"/>
  <c r="D53" i="84"/>
  <c r="E52" i="84"/>
  <c r="E47" i="84"/>
  <c r="E50" i="84"/>
  <c r="E51" i="84"/>
  <c r="D45" i="84"/>
  <c r="F48" i="84"/>
  <c r="H128" i="29"/>
  <c r="H35" i="29"/>
  <c r="H143" i="29"/>
  <c r="H158" i="29"/>
  <c r="H173" i="29"/>
  <c r="E63" i="84"/>
  <c r="D54" i="84"/>
  <c r="B42" i="84"/>
  <c r="D57" i="84"/>
  <c r="E46" i="84"/>
  <c r="F65" i="84"/>
  <c r="D60" i="84"/>
  <c r="D59" i="84"/>
  <c r="I128" i="29"/>
  <c r="I173" i="29"/>
  <c r="I35" i="29"/>
  <c r="I143" i="29"/>
  <c r="I158" i="29"/>
  <c r="D58" i="84"/>
  <c r="D61" i="84"/>
  <c r="F49" i="84"/>
  <c r="D56" i="84"/>
  <c r="R52" i="22"/>
  <c r="D49" i="72"/>
  <c r="C96" i="72"/>
  <c r="E44" i="72"/>
  <c r="D48" i="72"/>
  <c r="D46" i="72"/>
  <c r="D51" i="72"/>
  <c r="E39" i="72"/>
  <c r="E41" i="72"/>
  <c r="E43" i="72"/>
  <c r="D55" i="72"/>
  <c r="D53" i="72"/>
  <c r="D37" i="72"/>
  <c r="D50" i="72"/>
  <c r="D54" i="72"/>
  <c r="D52" i="72"/>
  <c r="D64" i="72"/>
  <c r="D71" i="72"/>
  <c r="D79" i="72"/>
  <c r="P57" i="22"/>
  <c r="P58" i="22"/>
  <c r="N63" i="22"/>
  <c r="N64" i="22"/>
  <c r="M69" i="22"/>
  <c r="H164" i="29"/>
  <c r="H45" i="29"/>
  <c r="N41" i="22"/>
  <c r="H23" i="68"/>
  <c r="H134" i="29"/>
  <c r="I179" i="29"/>
  <c r="J48" i="42"/>
  <c r="D69" i="22"/>
  <c r="E38" i="22"/>
  <c r="F40" i="22"/>
  <c r="E68" i="22"/>
  <c r="D274" i="53"/>
  <c r="D276" i="53"/>
  <c r="F52" i="84"/>
  <c r="E56" i="84"/>
  <c r="E59" i="84"/>
  <c r="H64" i="84"/>
  <c r="G64" i="84"/>
  <c r="H49" i="84"/>
  <c r="G49" i="84"/>
  <c r="F47" i="84"/>
  <c r="E61" i="84"/>
  <c r="E58" i="84"/>
  <c r="H65" i="84"/>
  <c r="G65" i="84"/>
  <c r="F46" i="84"/>
  <c r="E57" i="84"/>
  <c r="E54" i="84"/>
  <c r="F63" i="84"/>
  <c r="C42" i="84"/>
  <c r="H48" i="84"/>
  <c r="G48" i="84"/>
  <c r="F51" i="84"/>
  <c r="E53" i="84"/>
  <c r="E55" i="84"/>
  <c r="F50" i="84"/>
  <c r="F169" i="84"/>
  <c r="E60" i="84"/>
  <c r="C145" i="29"/>
  <c r="C175" i="29"/>
  <c r="C37" i="29"/>
  <c r="C130" i="29"/>
  <c r="C160" i="29"/>
  <c r="D61" i="55"/>
  <c r="E45" i="84"/>
  <c r="E52" i="72"/>
  <c r="E54" i="72"/>
  <c r="E50" i="72"/>
  <c r="E53" i="72"/>
  <c r="D96" i="72"/>
  <c r="E55" i="72"/>
  <c r="E79" i="72"/>
  <c r="F43" i="72"/>
  <c r="F39" i="72"/>
  <c r="E37" i="72"/>
  <c r="E49" i="72"/>
  <c r="C174" i="29"/>
  <c r="C159" i="29"/>
  <c r="C144" i="29"/>
  <c r="C129" i="29"/>
  <c r="C36" i="29"/>
  <c r="E71" i="72"/>
  <c r="E64" i="72"/>
  <c r="F41" i="72"/>
  <c r="E51" i="72"/>
  <c r="E46" i="72"/>
  <c r="E48" i="72"/>
  <c r="F44" i="72"/>
  <c r="P59" i="22"/>
  <c r="Q56" i="22"/>
  <c r="N47" i="22"/>
  <c r="O44" i="22"/>
  <c r="N65" i="22"/>
  <c r="O62" i="22"/>
  <c r="N66" i="22"/>
  <c r="I164" i="29"/>
  <c r="I45" i="29"/>
  <c r="I134" i="29"/>
  <c r="I149" i="29"/>
  <c r="I23" i="68"/>
  <c r="I172" i="29"/>
  <c r="I142" i="29"/>
  <c r="I157" i="29"/>
  <c r="I127" i="29"/>
  <c r="I34" i="29"/>
  <c r="F9" i="61"/>
  <c r="E41" i="22"/>
  <c r="E66" i="22"/>
  <c r="D13" i="69"/>
  <c r="D15" i="69"/>
  <c r="F68" i="22"/>
  <c r="G40" i="22"/>
  <c r="D160" i="29"/>
  <c r="D175" i="29"/>
  <c r="D145" i="29"/>
  <c r="D130" i="29"/>
  <c r="D37" i="29"/>
  <c r="F55" i="84"/>
  <c r="G51" i="84"/>
  <c r="H51" i="84"/>
  <c r="G63" i="84"/>
  <c r="H63" i="84"/>
  <c r="F54" i="84"/>
  <c r="F57" i="84"/>
  <c r="F58" i="84"/>
  <c r="F61" i="84"/>
  <c r="G47" i="84"/>
  <c r="H47" i="84"/>
  <c r="H52" i="84"/>
  <c r="G52" i="84"/>
  <c r="H50" i="84"/>
  <c r="G50" i="84"/>
  <c r="F56" i="84"/>
  <c r="H46" i="84"/>
  <c r="G46" i="84"/>
  <c r="F45" i="84"/>
  <c r="D42" i="84"/>
  <c r="F59" i="84"/>
  <c r="E42" i="84"/>
  <c r="F60" i="84"/>
  <c r="G169" i="84"/>
  <c r="F53" i="84"/>
  <c r="E61" i="55"/>
  <c r="F37" i="72"/>
  <c r="F51" i="72"/>
  <c r="H44" i="72"/>
  <c r="G44" i="72"/>
  <c r="F48" i="72"/>
  <c r="H41" i="72"/>
  <c r="G41" i="72"/>
  <c r="F49" i="72"/>
  <c r="F64" i="72"/>
  <c r="F71" i="72"/>
  <c r="F55" i="72"/>
  <c r="F50" i="72"/>
  <c r="F54" i="72"/>
  <c r="F52" i="72"/>
  <c r="F46" i="72"/>
  <c r="F79" i="72"/>
  <c r="E96" i="72"/>
  <c r="H39" i="72"/>
  <c r="G39" i="72"/>
  <c r="G43" i="72"/>
  <c r="F53" i="72"/>
  <c r="Q57" i="22"/>
  <c r="Q58" i="22"/>
  <c r="O45" i="22"/>
  <c r="O46" i="22"/>
  <c r="O63" i="22"/>
  <c r="O64" i="22"/>
  <c r="N68" i="22"/>
  <c r="N67" i="22"/>
  <c r="E98" i="22"/>
  <c r="F38" i="22"/>
  <c r="E69" i="22"/>
  <c r="G68" i="22"/>
  <c r="H40" i="22"/>
  <c r="G9" i="61"/>
  <c r="H43" i="72"/>
  <c r="H45" i="84"/>
  <c r="H56" i="84"/>
  <c r="G56" i="84"/>
  <c r="G59" i="84"/>
  <c r="H59" i="84"/>
  <c r="G55" i="84"/>
  <c r="H55" i="84"/>
  <c r="H169" i="84"/>
  <c r="G61" i="84"/>
  <c r="H61" i="84"/>
  <c r="G57" i="84"/>
  <c r="H57" i="84"/>
  <c r="G53" i="84"/>
  <c r="Q59" i="22"/>
  <c r="R56" i="22"/>
  <c r="R57" i="22"/>
  <c r="R59" i="22"/>
  <c r="G45" i="84"/>
  <c r="H60" i="84"/>
  <c r="G60" i="84"/>
  <c r="F61" i="55"/>
  <c r="E175" i="29"/>
  <c r="E160" i="29"/>
  <c r="E37" i="29"/>
  <c r="E145" i="29"/>
  <c r="E130" i="29"/>
  <c r="H58" i="84"/>
  <c r="G58" i="84"/>
  <c r="H54" i="84"/>
  <c r="G54" i="84"/>
  <c r="H53" i="81"/>
  <c r="H53" i="72"/>
  <c r="G53" i="72"/>
  <c r="G71" i="72"/>
  <c r="G64" i="72"/>
  <c r="H76" i="81"/>
  <c r="G46" i="72"/>
  <c r="E274" i="53"/>
  <c r="E276" i="53"/>
  <c r="H52" i="72"/>
  <c r="G52" i="72"/>
  <c r="H54" i="72"/>
  <c r="G54" i="72"/>
  <c r="G50" i="72"/>
  <c r="H49" i="72"/>
  <c r="G49" i="72"/>
  <c r="G48" i="72"/>
  <c r="H37" i="72"/>
  <c r="H51" i="72"/>
  <c r="G51" i="72"/>
  <c r="H55" i="72"/>
  <c r="G55" i="72"/>
  <c r="F96" i="72"/>
  <c r="G79" i="72"/>
  <c r="G37" i="72"/>
  <c r="D159" i="29"/>
  <c r="D144" i="29"/>
  <c r="D129" i="29"/>
  <c r="D36" i="29"/>
  <c r="D174" i="29"/>
  <c r="O47" i="22"/>
  <c r="P44" i="22"/>
  <c r="P45" i="22"/>
  <c r="P47" i="22"/>
  <c r="Q44" i="22"/>
  <c r="O65" i="22"/>
  <c r="P62" i="22"/>
  <c r="O38" i="22"/>
  <c r="N69" i="22"/>
  <c r="H22" i="48"/>
  <c r="H22" i="57"/>
  <c r="H32" i="57"/>
  <c r="H22" i="69"/>
  <c r="H53" i="84"/>
  <c r="H22" i="62"/>
  <c r="H22" i="61"/>
  <c r="H22" i="23"/>
  <c r="F41" i="22"/>
  <c r="F66" i="22"/>
  <c r="E13" i="69"/>
  <c r="E15" i="69"/>
  <c r="H68" i="22"/>
  <c r="I40" i="22"/>
  <c r="I68" i="22"/>
  <c r="R58" i="22"/>
  <c r="G42" i="84"/>
  <c r="H79" i="72"/>
  <c r="H64" i="72"/>
  <c r="H50" i="72"/>
  <c r="H48" i="72"/>
  <c r="H46" i="72"/>
  <c r="H71" i="72"/>
  <c r="H9" i="61"/>
  <c r="H61" i="55"/>
  <c r="F130" i="29"/>
  <c r="F160" i="29"/>
  <c r="F175" i="29"/>
  <c r="F37" i="29"/>
  <c r="F145" i="29"/>
  <c r="J169" i="84"/>
  <c r="I9" i="61"/>
  <c r="I169" i="84"/>
  <c r="G61" i="55"/>
  <c r="F42" i="84"/>
  <c r="E159" i="29"/>
  <c r="E144" i="29"/>
  <c r="E129" i="29"/>
  <c r="E174" i="29"/>
  <c r="E36" i="29"/>
  <c r="D186" i="84"/>
  <c r="D188" i="84"/>
  <c r="G96" i="72"/>
  <c r="Q45" i="22"/>
  <c r="Q47" i="22"/>
  <c r="R44" i="22"/>
  <c r="P46" i="22"/>
  <c r="P63" i="22"/>
  <c r="P64" i="22"/>
  <c r="O39" i="22"/>
  <c r="O41" i="22"/>
  <c r="O66" i="22"/>
  <c r="F164" i="29"/>
  <c r="F149" i="29"/>
  <c r="F134" i="29"/>
  <c r="F179" i="29"/>
  <c r="F23" i="68"/>
  <c r="F45" i="29"/>
  <c r="H48" i="42"/>
  <c r="G38" i="22"/>
  <c r="F69" i="22"/>
  <c r="F159" i="29"/>
  <c r="H96" i="72"/>
  <c r="G274" i="53"/>
  <c r="G276" i="53"/>
  <c r="F36" i="29"/>
  <c r="F144" i="29"/>
  <c r="F274" i="53"/>
  <c r="F276" i="53"/>
  <c r="F129" i="29"/>
  <c r="F174" i="29"/>
  <c r="H42" i="84"/>
  <c r="G145" i="29"/>
  <c r="G130" i="29"/>
  <c r="G37" i="29"/>
  <c r="G175" i="29"/>
  <c r="G160" i="29"/>
  <c r="Q46" i="22"/>
  <c r="R45" i="22"/>
  <c r="R47" i="22"/>
  <c r="P65" i="22"/>
  <c r="Q62" i="22"/>
  <c r="P38" i="22"/>
  <c r="O69" i="22"/>
  <c r="O67" i="22"/>
  <c r="F98" i="22"/>
  <c r="O40" i="22"/>
  <c r="O68" i="22"/>
  <c r="G127" i="29"/>
  <c r="G142" i="29"/>
  <c r="G157" i="29"/>
  <c r="G172" i="29"/>
  <c r="G34" i="29"/>
  <c r="J9" i="61"/>
  <c r="G41" i="22"/>
  <c r="G66" i="22"/>
  <c r="F13" i="69"/>
  <c r="F15" i="69"/>
  <c r="H160" i="29"/>
  <c r="H175" i="29"/>
  <c r="H145" i="29"/>
  <c r="H130" i="29"/>
  <c r="H37" i="29"/>
  <c r="I175" i="29"/>
  <c r="I160" i="29"/>
  <c r="I37" i="29"/>
  <c r="I145" i="29"/>
  <c r="I130" i="29"/>
  <c r="K9" i="61"/>
  <c r="G159" i="29"/>
  <c r="G144" i="29"/>
  <c r="G129" i="29"/>
  <c r="G174" i="29"/>
  <c r="G36" i="29"/>
  <c r="E186" i="84"/>
  <c r="E188" i="84"/>
  <c r="H274" i="53"/>
  <c r="H276" i="53"/>
  <c r="F186" i="84"/>
  <c r="F188" i="84"/>
  <c r="R46" i="22"/>
  <c r="Q63" i="22"/>
  <c r="Q64" i="22"/>
  <c r="P66" i="22"/>
  <c r="P39" i="22"/>
  <c r="B45" i="72"/>
  <c r="I174" i="29"/>
  <c r="G69" i="22"/>
  <c r="H38" i="22"/>
  <c r="G186" i="84"/>
  <c r="G188" i="84"/>
  <c r="Q65" i="22"/>
  <c r="R62" i="22"/>
  <c r="R63" i="22"/>
  <c r="R64" i="22"/>
  <c r="P67" i="22"/>
  <c r="G98" i="22"/>
  <c r="P41" i="22"/>
  <c r="P40" i="22"/>
  <c r="P68" i="22"/>
  <c r="C45" i="72"/>
  <c r="I274" i="53"/>
  <c r="I276" i="53"/>
  <c r="I144" i="29"/>
  <c r="I36" i="29"/>
  <c r="I129" i="29"/>
  <c r="I159" i="29"/>
  <c r="H66" i="22"/>
  <c r="G13" i="69"/>
  <c r="G15" i="69"/>
  <c r="H41" i="22"/>
  <c r="R65" i="22"/>
  <c r="Q38" i="22"/>
  <c r="P69" i="22"/>
  <c r="J274" i="53"/>
  <c r="J276" i="53"/>
  <c r="D45" i="72"/>
  <c r="H159" i="29"/>
  <c r="H174" i="29"/>
  <c r="H129" i="29"/>
  <c r="H144" i="29"/>
  <c r="H36" i="29"/>
  <c r="H69" i="22"/>
  <c r="I38" i="22"/>
  <c r="H186" i="84"/>
  <c r="H188" i="84"/>
  <c r="J186" i="84"/>
  <c r="J188" i="84"/>
  <c r="Q39" i="22"/>
  <c r="Q66" i="22"/>
  <c r="E45" i="72"/>
  <c r="I186" i="84"/>
  <c r="I188" i="84"/>
  <c r="I41" i="22"/>
  <c r="I69" i="22"/>
  <c r="I66" i="22"/>
  <c r="H13" i="69"/>
  <c r="H15" i="69"/>
  <c r="Q40" i="22"/>
  <c r="Q68" i="22"/>
  <c r="Q41" i="22"/>
  <c r="Q67" i="22"/>
  <c r="H98" i="22"/>
  <c r="B10" i="69"/>
  <c r="J10" i="69"/>
  <c r="C125" i="29"/>
  <c r="C32" i="29"/>
  <c r="C170" i="29"/>
  <c r="C155" i="29"/>
  <c r="C6" i="68"/>
  <c r="C140" i="29"/>
  <c r="F45" i="72"/>
  <c r="C171" i="29"/>
  <c r="C156" i="29"/>
  <c r="C126" i="29"/>
  <c r="C132" i="29"/>
  <c r="C141" i="29"/>
  <c r="C147" i="29"/>
  <c r="C33" i="29"/>
  <c r="C39" i="29"/>
  <c r="F12" i="61"/>
  <c r="D178" i="72"/>
  <c r="D180" i="72"/>
  <c r="C10" i="69"/>
  <c r="Q69" i="22"/>
  <c r="R38" i="22"/>
  <c r="D10" i="69"/>
  <c r="C177" i="29"/>
  <c r="C162" i="29"/>
  <c r="B25" i="69"/>
  <c r="J25" i="69"/>
  <c r="D302" i="55"/>
  <c r="D305" i="55"/>
  <c r="D32" i="29"/>
  <c r="D155" i="29"/>
  <c r="D170" i="29"/>
  <c r="D171" i="29"/>
  <c r="D177" i="29"/>
  <c r="D140" i="29"/>
  <c r="D6" i="68"/>
  <c r="D125" i="29"/>
  <c r="B9" i="69"/>
  <c r="J9" i="69"/>
  <c r="J11" i="69"/>
  <c r="J20" i="69"/>
  <c r="D126" i="29"/>
  <c r="D33" i="29"/>
  <c r="D156" i="29"/>
  <c r="D141" i="29"/>
  <c r="G45" i="72"/>
  <c r="H45" i="72"/>
  <c r="G12" i="61"/>
  <c r="E178" i="72"/>
  <c r="E180" i="72"/>
  <c r="R66" i="22"/>
  <c r="R39" i="22"/>
  <c r="C9" i="69"/>
  <c r="D132" i="29"/>
  <c r="E156" i="29"/>
  <c r="E141" i="29"/>
  <c r="E33" i="29"/>
  <c r="E126" i="29"/>
  <c r="E171" i="29"/>
  <c r="E302" i="55"/>
  <c r="E305" i="55"/>
  <c r="C25" i="69"/>
  <c r="D39" i="29"/>
  <c r="D147" i="29"/>
  <c r="C135" i="29"/>
  <c r="C136" i="29"/>
  <c r="C137" i="29"/>
  <c r="C22" i="68"/>
  <c r="C41" i="29"/>
  <c r="C43" i="29"/>
  <c r="C47" i="29"/>
  <c r="C165" i="29"/>
  <c r="C166" i="29"/>
  <c r="C167" i="29"/>
  <c r="C180" i="29"/>
  <c r="C181" i="29"/>
  <c r="C182" i="29"/>
  <c r="C150" i="29"/>
  <c r="C151" i="29"/>
  <c r="C152" i="29"/>
  <c r="E6" i="68"/>
  <c r="E155" i="29"/>
  <c r="E162" i="29"/>
  <c r="E170" i="29"/>
  <c r="E140" i="29"/>
  <c r="E147" i="29"/>
  <c r="E32" i="29"/>
  <c r="E125" i="29"/>
  <c r="E132" i="29"/>
  <c r="D162" i="29"/>
  <c r="F178" i="72"/>
  <c r="F180" i="72"/>
  <c r="R40" i="22"/>
  <c r="R68" i="22"/>
  <c r="R41" i="22"/>
  <c r="R69" i="22"/>
  <c r="R67" i="22"/>
  <c r="I98" i="22"/>
  <c r="H12" i="61"/>
  <c r="E9" i="69"/>
  <c r="E10" i="69"/>
  <c r="J24" i="69"/>
  <c r="J28" i="69"/>
  <c r="K28" i="69"/>
  <c r="I12" i="61"/>
  <c r="F126" i="29"/>
  <c r="F171" i="29"/>
  <c r="F33" i="29"/>
  <c r="F156" i="29"/>
  <c r="F141" i="29"/>
  <c r="E177" i="29"/>
  <c r="F140" i="29"/>
  <c r="F6" i="68"/>
  <c r="F125" i="29"/>
  <c r="F32" i="29"/>
  <c r="F155" i="29"/>
  <c r="F170" i="29"/>
  <c r="D25" i="69"/>
  <c r="F302" i="55"/>
  <c r="F305" i="55"/>
  <c r="E39" i="29"/>
  <c r="D9" i="69"/>
  <c r="D22" i="68"/>
  <c r="D41" i="29"/>
  <c r="D43" i="29"/>
  <c r="D47" i="29"/>
  <c r="D165" i="29"/>
  <c r="D166" i="29"/>
  <c r="D167" i="29"/>
  <c r="D135" i="29"/>
  <c r="D136" i="29"/>
  <c r="D137" i="29"/>
  <c r="D180" i="29"/>
  <c r="D181" i="29"/>
  <c r="D182" i="29"/>
  <c r="D150" i="29"/>
  <c r="D151" i="29"/>
  <c r="D152" i="29"/>
  <c r="G178" i="72"/>
  <c r="G180" i="72"/>
  <c r="G10" i="69"/>
  <c r="J31" i="69"/>
  <c r="K9" i="68"/>
  <c r="C7" i="68"/>
  <c r="C10" i="68"/>
  <c r="G302" i="55"/>
  <c r="G305" i="55"/>
  <c r="J12" i="61"/>
  <c r="F39" i="29"/>
  <c r="F162" i="29"/>
  <c r="F147" i="29"/>
  <c r="F177" i="29"/>
  <c r="B27" i="69"/>
  <c r="F10" i="69"/>
  <c r="E165" i="29"/>
  <c r="E166" i="29"/>
  <c r="E167" i="29"/>
  <c r="E150" i="29"/>
  <c r="E151" i="29"/>
  <c r="E152" i="29"/>
  <c r="E180" i="29"/>
  <c r="E181" i="29"/>
  <c r="E182" i="29"/>
  <c r="E41" i="29"/>
  <c r="E43" i="29"/>
  <c r="E47" i="29"/>
  <c r="E22" i="68"/>
  <c r="E135" i="29"/>
  <c r="E136" i="29"/>
  <c r="E137" i="29"/>
  <c r="C15" i="29"/>
  <c r="C71" i="29"/>
  <c r="D22" i="29"/>
  <c r="C94" i="29"/>
  <c r="E25" i="69"/>
  <c r="C9" i="68"/>
  <c r="B34" i="69"/>
  <c r="C34" i="69"/>
  <c r="D34" i="69"/>
  <c r="E34" i="69"/>
  <c r="F34" i="69"/>
  <c r="G34" i="69"/>
  <c r="H34" i="69"/>
  <c r="G156" i="29"/>
  <c r="G141" i="29"/>
  <c r="G126" i="29"/>
  <c r="G171" i="29"/>
  <c r="G33" i="29"/>
  <c r="G6" i="68"/>
  <c r="G155" i="29"/>
  <c r="G170" i="29"/>
  <c r="G140" i="29"/>
  <c r="G32" i="29"/>
  <c r="G125" i="29"/>
  <c r="F132" i="29"/>
  <c r="D27" i="69"/>
  <c r="B33" i="69"/>
  <c r="C33" i="69"/>
  <c r="D33" i="69"/>
  <c r="E33" i="69"/>
  <c r="F33" i="69"/>
  <c r="G33" i="69"/>
  <c r="H33" i="69"/>
  <c r="K12" i="61"/>
  <c r="J178" i="72"/>
  <c r="J180" i="72"/>
  <c r="G162" i="29"/>
  <c r="G147" i="29"/>
  <c r="H302" i="55"/>
  <c r="H305" i="55"/>
  <c r="F25" i="69"/>
  <c r="H178" i="72"/>
  <c r="H180" i="72"/>
  <c r="G39" i="29"/>
  <c r="D12" i="68"/>
  <c r="F165" i="29"/>
  <c r="F166" i="29"/>
  <c r="F167" i="29"/>
  <c r="F41" i="29"/>
  <c r="F43" i="29"/>
  <c r="F47" i="29"/>
  <c r="F22" i="68"/>
  <c r="F135" i="29"/>
  <c r="F136" i="29"/>
  <c r="F137" i="29"/>
  <c r="F180" i="29"/>
  <c r="F181" i="29"/>
  <c r="F182" i="29"/>
  <c r="F150" i="29"/>
  <c r="F151" i="29"/>
  <c r="F152" i="29"/>
  <c r="F9" i="69"/>
  <c r="I140" i="29"/>
  <c r="I32" i="29"/>
  <c r="I170" i="29"/>
  <c r="I125" i="29"/>
  <c r="I155" i="29"/>
  <c r="I6" i="68"/>
  <c r="H125" i="29"/>
  <c r="H32" i="29"/>
  <c r="H170" i="29"/>
  <c r="H6" i="68"/>
  <c r="H155" i="29"/>
  <c r="H140" i="29"/>
  <c r="H156" i="29"/>
  <c r="H141" i="29"/>
  <c r="H126" i="29"/>
  <c r="H171" i="29"/>
  <c r="H33" i="29"/>
  <c r="H10" i="69"/>
  <c r="I178" i="72"/>
  <c r="I180" i="72"/>
  <c r="G177" i="29"/>
  <c r="C12" i="68"/>
  <c r="K7" i="68"/>
  <c r="K8" i="68"/>
  <c r="G132" i="29"/>
  <c r="I171" i="29"/>
  <c r="I156" i="29"/>
  <c r="I126" i="29"/>
  <c r="I141" i="29"/>
  <c r="I33" i="29"/>
  <c r="C27" i="69"/>
  <c r="F12" i="68"/>
  <c r="E12" i="68"/>
  <c r="G9" i="69"/>
  <c r="H162" i="29"/>
  <c r="H147" i="29"/>
  <c r="H39" i="29"/>
  <c r="I132" i="29"/>
  <c r="H132" i="29"/>
  <c r="I177" i="29"/>
  <c r="H9" i="69"/>
  <c r="G41" i="29"/>
  <c r="G43" i="29"/>
  <c r="G47" i="29"/>
  <c r="G135" i="29"/>
  <c r="G136" i="29"/>
  <c r="G137" i="29"/>
  <c r="G165" i="29"/>
  <c r="G166" i="29"/>
  <c r="G167" i="29"/>
  <c r="G180" i="29"/>
  <c r="G181" i="29"/>
  <c r="G182" i="29"/>
  <c r="G150" i="29"/>
  <c r="G151" i="29"/>
  <c r="G152" i="29"/>
  <c r="G22" i="68"/>
  <c r="I39" i="29"/>
  <c r="G25" i="69"/>
  <c r="I302" i="55"/>
  <c r="I305" i="55"/>
  <c r="H177" i="29"/>
  <c r="I162" i="29"/>
  <c r="I147" i="29"/>
  <c r="E27" i="69"/>
  <c r="H25" i="69"/>
  <c r="J302" i="55"/>
  <c r="J305" i="55"/>
  <c r="F93" i="23"/>
  <c r="G12" i="68"/>
  <c r="H165" i="29"/>
  <c r="H166" i="29"/>
  <c r="H167" i="29"/>
  <c r="H180" i="29"/>
  <c r="H181" i="29"/>
  <c r="H182" i="29"/>
  <c r="H135" i="29"/>
  <c r="H136" i="29"/>
  <c r="H137" i="29"/>
  <c r="H150" i="29"/>
  <c r="H151" i="29"/>
  <c r="H152" i="29"/>
  <c r="H41" i="29"/>
  <c r="H43" i="29"/>
  <c r="H47" i="29"/>
  <c r="I22" i="68"/>
  <c r="I135" i="29"/>
  <c r="I136" i="29"/>
  <c r="I137" i="29"/>
  <c r="I93" i="23"/>
  <c r="I41" i="29"/>
  <c r="I43" i="29"/>
  <c r="I47" i="29"/>
  <c r="I165" i="29"/>
  <c r="I166" i="29"/>
  <c r="I167" i="29"/>
  <c r="I180" i="29"/>
  <c r="I181" i="29"/>
  <c r="I182" i="29"/>
  <c r="I150" i="29"/>
  <c r="I151" i="29"/>
  <c r="I152" i="29"/>
  <c r="I45" i="23"/>
  <c r="I69" i="23"/>
  <c r="I33" i="23"/>
  <c r="I81" i="23"/>
  <c r="I57" i="23"/>
  <c r="C49" i="29"/>
  <c r="D29" i="62"/>
  <c r="H27" i="69"/>
  <c r="H31" i="69"/>
  <c r="F27" i="69"/>
  <c r="I12" i="68"/>
  <c r="H12" i="68"/>
  <c r="G27" i="69"/>
  <c r="H21" i="23"/>
  <c r="C25" i="68"/>
  <c r="F16" i="23"/>
  <c r="F17" i="23"/>
  <c r="F18" i="23"/>
  <c r="F19" i="23"/>
  <c r="F20" i="23"/>
  <c r="C115" i="29"/>
  <c r="F21" i="23"/>
  <c r="I21" i="23"/>
  <c r="J21" i="23"/>
  <c r="B28" i="69"/>
  <c r="B31" i="69"/>
  <c r="J30" i="69"/>
  <c r="J32" i="69"/>
  <c r="C96" i="22"/>
  <c r="C103" i="22"/>
  <c r="C99" i="22"/>
  <c r="C100" i="22"/>
  <c r="C101" i="22"/>
  <c r="C102" i="22"/>
  <c r="C104" i="22"/>
  <c r="B50" i="21"/>
  <c r="B51" i="21"/>
  <c r="C109" i="29"/>
  <c r="C113" i="29"/>
  <c r="C117" i="29"/>
  <c r="C29" i="68"/>
  <c r="C31" i="68"/>
  <c r="D95" i="29"/>
  <c r="D98" i="29"/>
  <c r="D99" i="29"/>
  <c r="B53" i="21"/>
  <c r="B37" i="69"/>
  <c r="B39" i="69"/>
  <c r="B41" i="69"/>
  <c r="D14" i="29"/>
  <c r="D15" i="29"/>
  <c r="C80" i="29"/>
  <c r="C63" i="29"/>
  <c r="C67" i="29"/>
  <c r="C32" i="68"/>
  <c r="C34" i="68"/>
  <c r="C36" i="69"/>
  <c r="B43" i="69"/>
  <c r="B8" i="69"/>
  <c r="B11" i="69"/>
  <c r="B20" i="69"/>
  <c r="B46" i="69"/>
  <c r="D33" i="68"/>
  <c r="J33" i="23"/>
  <c r="H33" i="23"/>
  <c r="D25" i="68"/>
  <c r="E9" i="29"/>
  <c r="D115" i="29"/>
  <c r="C28" i="69"/>
  <c r="C31" i="69"/>
  <c r="D96" i="22"/>
  <c r="D99" i="22"/>
  <c r="D100" i="22"/>
  <c r="D101" i="22"/>
  <c r="D102" i="22"/>
  <c r="D103" i="22"/>
  <c r="D104" i="22"/>
  <c r="C50" i="21"/>
  <c r="C51" i="21"/>
  <c r="D63" i="29"/>
  <c r="D67" i="29"/>
  <c r="D109" i="29"/>
  <c r="D113" i="29"/>
  <c r="D117" i="29"/>
  <c r="D29" i="68"/>
  <c r="C37" i="69"/>
  <c r="C39" i="69"/>
  <c r="D80" i="29"/>
  <c r="C53" i="21"/>
  <c r="E14" i="29"/>
  <c r="E15" i="29"/>
  <c r="E95" i="29"/>
  <c r="E98" i="29"/>
  <c r="E99" i="29"/>
  <c r="D31" i="68"/>
  <c r="D32" i="68"/>
  <c r="D34" i="68"/>
  <c r="C8" i="69"/>
  <c r="C11" i="69"/>
  <c r="C20" i="69"/>
  <c r="D36" i="69"/>
  <c r="C41" i="69"/>
  <c r="C43" i="69"/>
  <c r="C46" i="69"/>
  <c r="E33" i="68"/>
  <c r="J45" i="23"/>
  <c r="H45" i="23"/>
  <c r="E25" i="68"/>
  <c r="F9" i="29"/>
  <c r="E115" i="29"/>
  <c r="D28" i="69"/>
  <c r="D31" i="69"/>
  <c r="E96" i="22"/>
  <c r="E99" i="22"/>
  <c r="E100" i="22"/>
  <c r="E101" i="22"/>
  <c r="E102" i="22"/>
  <c r="E103" i="22"/>
  <c r="E104" i="22"/>
  <c r="D50" i="21"/>
  <c r="D51" i="21"/>
  <c r="E63" i="29"/>
  <c r="E67" i="29"/>
  <c r="E109" i="29"/>
  <c r="E113" i="29"/>
  <c r="E117" i="29"/>
  <c r="E29" i="68"/>
  <c r="E80" i="29"/>
  <c r="F95" i="29"/>
  <c r="F98" i="29"/>
  <c r="F99" i="29"/>
  <c r="D53" i="21"/>
  <c r="F14" i="29"/>
  <c r="F15" i="29"/>
  <c r="D37" i="69"/>
  <c r="D39" i="69"/>
  <c r="E31" i="68"/>
  <c r="E32" i="68"/>
  <c r="E34" i="68"/>
  <c r="D8" i="69"/>
  <c r="D11" i="69"/>
  <c r="D20" i="69"/>
  <c r="D41" i="69"/>
  <c r="D43" i="69"/>
  <c r="E36" i="69"/>
  <c r="D46" i="69"/>
  <c r="F33" i="68"/>
  <c r="J57" i="23"/>
  <c r="H57" i="23"/>
  <c r="F25" i="68"/>
  <c r="G9" i="29"/>
  <c r="F115" i="29"/>
  <c r="F96" i="22"/>
  <c r="E28" i="69"/>
  <c r="E31" i="69"/>
  <c r="F99" i="22"/>
  <c r="F100" i="22"/>
  <c r="F101" i="22"/>
  <c r="F102" i="22"/>
  <c r="F103" i="22"/>
  <c r="F104" i="22"/>
  <c r="E50" i="21"/>
  <c r="F29" i="68"/>
  <c r="F31" i="68"/>
  <c r="F32" i="68"/>
  <c r="F34" i="68"/>
  <c r="E8" i="69"/>
  <c r="E11" i="69"/>
  <c r="E20" i="69"/>
  <c r="E51" i="21"/>
  <c r="F109" i="29"/>
  <c r="F113" i="29"/>
  <c r="F117" i="29"/>
  <c r="G95" i="29"/>
  <c r="G98" i="29"/>
  <c r="G99" i="29"/>
  <c r="F63" i="29"/>
  <c r="F67" i="29"/>
  <c r="G33" i="68"/>
  <c r="G14" i="29"/>
  <c r="G15" i="29"/>
  <c r="F80" i="29"/>
  <c r="E53" i="21"/>
  <c r="E37" i="69"/>
  <c r="E39" i="69"/>
  <c r="F36" i="69"/>
  <c r="E41" i="69"/>
  <c r="E43" i="69"/>
  <c r="E46" i="69"/>
  <c r="J69" i="23"/>
  <c r="H69" i="23"/>
  <c r="G25" i="68"/>
  <c r="H9" i="29"/>
  <c r="G115" i="29"/>
  <c r="G96" i="22"/>
  <c r="F28" i="69"/>
  <c r="F31" i="69"/>
  <c r="G99" i="22"/>
  <c r="G100" i="22"/>
  <c r="G101" i="22"/>
  <c r="G102" i="22"/>
  <c r="G103" i="22"/>
  <c r="G104" i="22"/>
  <c r="F50" i="21"/>
  <c r="F51" i="21"/>
  <c r="G63" i="29"/>
  <c r="G67" i="29"/>
  <c r="G109" i="29"/>
  <c r="G113" i="29"/>
  <c r="G117" i="29"/>
  <c r="G29" i="68"/>
  <c r="G80" i="29"/>
  <c r="H14" i="29"/>
  <c r="H15" i="29"/>
  <c r="H95" i="29"/>
  <c r="H98" i="29"/>
  <c r="F37" i="69"/>
  <c r="F39" i="69"/>
  <c r="F53" i="21"/>
  <c r="G31" i="68"/>
  <c r="G32" i="68"/>
  <c r="G34" i="68"/>
  <c r="H33" i="68"/>
  <c r="D101" i="29"/>
  <c r="D33" i="62"/>
  <c r="H99" i="29"/>
  <c r="F41" i="69"/>
  <c r="F43" i="69"/>
  <c r="G36" i="69"/>
  <c r="F8" i="69"/>
  <c r="F11" i="69"/>
  <c r="F20" i="69"/>
  <c r="F46" i="69"/>
  <c r="J81" i="23"/>
  <c r="H81" i="23"/>
  <c r="H25" i="68"/>
  <c r="I9" i="29"/>
  <c r="H115" i="29"/>
  <c r="H96" i="22"/>
  <c r="G28" i="69"/>
  <c r="G31" i="69"/>
  <c r="H99" i="22"/>
  <c r="H100" i="22"/>
  <c r="H101" i="22"/>
  <c r="H102" i="22"/>
  <c r="H103" i="22"/>
  <c r="H104" i="22"/>
  <c r="G50" i="21"/>
  <c r="G51" i="21"/>
  <c r="H63" i="29"/>
  <c r="H67" i="29"/>
  <c r="H109" i="29"/>
  <c r="H113" i="29"/>
  <c r="H117" i="29"/>
  <c r="H29" i="68"/>
  <c r="H80" i="29"/>
  <c r="G37" i="69"/>
  <c r="G39" i="69"/>
  <c r="I14" i="29"/>
  <c r="I15" i="29"/>
  <c r="I95" i="29"/>
  <c r="I98" i="29"/>
  <c r="G53" i="21"/>
  <c r="H31" i="68"/>
  <c r="H32" i="68"/>
  <c r="H34" i="68"/>
  <c r="G8" i="69"/>
  <c r="G11" i="69"/>
  <c r="G20" i="69"/>
  <c r="H36" i="69"/>
  <c r="G41" i="69"/>
  <c r="G43" i="69"/>
  <c r="G46" i="69"/>
  <c r="I33" i="68"/>
  <c r="E93" i="23"/>
  <c r="J93" i="23"/>
  <c r="D94" i="23"/>
  <c r="H93" i="23"/>
  <c r="E94" i="23"/>
  <c r="I25" i="68"/>
  <c r="G93" i="23"/>
  <c r="I115" i="29"/>
  <c r="I96" i="22"/>
  <c r="I103" i="22"/>
  <c r="I99" i="22"/>
  <c r="I100" i="22"/>
  <c r="I101" i="22"/>
  <c r="I102" i="22"/>
  <c r="I104" i="22"/>
  <c r="H50" i="21"/>
  <c r="I29" i="68"/>
  <c r="H51" i="21"/>
  <c r="I63" i="29"/>
  <c r="I67" i="29"/>
  <c r="C69" i="29"/>
  <c r="C73" i="29"/>
  <c r="D32" i="62"/>
  <c r="I109" i="29"/>
  <c r="I113" i="29"/>
  <c r="I117" i="29"/>
  <c r="C119" i="29"/>
  <c r="D34" i="62"/>
  <c r="I31" i="68"/>
  <c r="I32" i="68"/>
  <c r="I34" i="68"/>
  <c r="H8" i="69"/>
  <c r="H11" i="69"/>
  <c r="H20" i="69"/>
  <c r="J95" i="29"/>
  <c r="J98" i="29"/>
  <c r="H53" i="21"/>
  <c r="H37" i="69"/>
  <c r="H39" i="69"/>
  <c r="H41" i="69"/>
  <c r="H43" i="69"/>
  <c r="I80" i="29"/>
  <c r="C82" i="29"/>
  <c r="J9" i="29"/>
  <c r="J14" i="29"/>
  <c r="J15" i="29"/>
  <c r="C16" i="29"/>
  <c r="H46" i="69"/>
  <c r="C85" i="29"/>
  <c r="D30" i="62"/>
  <c r="D31" i="62"/>
  <c r="D18" i="29"/>
  <c r="E18" i="29"/>
  <c r="D19" i="29"/>
  <c r="E19" i="29"/>
  <c r="F18" i="29"/>
  <c r="G18" i="29"/>
  <c r="F19" i="29"/>
  <c r="H18" i="29"/>
  <c r="G19" i="29"/>
  <c r="I18" i="29"/>
  <c r="H19" i="29"/>
  <c r="J18" i="29"/>
  <c r="J19" i="29"/>
  <c r="I19" i="29"/>
  <c r="D20" i="29"/>
  <c r="F23" i="29"/>
</calcChain>
</file>

<file path=xl/sharedStrings.xml><?xml version="1.0" encoding="utf-8"?>
<sst xmlns="http://schemas.openxmlformats.org/spreadsheetml/2006/main" count="1513" uniqueCount="768">
  <si>
    <t>Particulars</t>
  </si>
  <si>
    <t>Total</t>
  </si>
  <si>
    <t>Y1</t>
  </si>
  <si>
    <t>Y2</t>
  </si>
  <si>
    <t>Y3</t>
  </si>
  <si>
    <t>Y4</t>
  </si>
  <si>
    <t>Y5</t>
  </si>
  <si>
    <t>Operating Profit</t>
  </si>
  <si>
    <t>Total Receipts</t>
  </si>
  <si>
    <t>Admin Expenses</t>
  </si>
  <si>
    <t>Office Electricity Exp</t>
  </si>
  <si>
    <t>Year 1</t>
  </si>
  <si>
    <t>Year 2</t>
  </si>
  <si>
    <t>Year 3</t>
  </si>
  <si>
    <t>Year 4</t>
  </si>
  <si>
    <t>Year 5</t>
  </si>
  <si>
    <t>Year 6</t>
  </si>
  <si>
    <t>Depreciation</t>
  </si>
  <si>
    <t>Particluars</t>
  </si>
  <si>
    <t>Opening Balance</t>
  </si>
  <si>
    <t xml:space="preserve">Interest </t>
  </si>
  <si>
    <t>Pricipal Repayment</t>
  </si>
  <si>
    <t>EMI</t>
  </si>
  <si>
    <t>Closing Outstanding</t>
  </si>
  <si>
    <t>Interest on Term loan</t>
  </si>
  <si>
    <t>Profit Before Tax</t>
  </si>
  <si>
    <t>Less. Tax</t>
  </si>
  <si>
    <t>Net Profit</t>
  </si>
  <si>
    <t>Profit After Tax</t>
  </si>
  <si>
    <t xml:space="preserve">Particular </t>
  </si>
  <si>
    <t>Profit after Tax &amp; Diivdend</t>
  </si>
  <si>
    <r>
      <t>Add</t>
    </r>
    <r>
      <rPr>
        <sz val="11"/>
        <color indexed="8"/>
        <rFont val="Times New Roman"/>
        <family val="1"/>
      </rPr>
      <t>: Deprication</t>
    </r>
  </si>
  <si>
    <t xml:space="preserve">Net Cash Accrual (A)      </t>
  </si>
  <si>
    <t>Presnt Value of Future Inflows</t>
  </si>
  <si>
    <t>Operating Net Cash Inflow</t>
  </si>
  <si>
    <t>Present Capital Outflow</t>
  </si>
  <si>
    <t>Add: Preliminary expense written off</t>
  </si>
  <si>
    <t>Gross Receipts</t>
  </si>
  <si>
    <t>Total Variable Exp</t>
  </si>
  <si>
    <t>Contribution</t>
  </si>
  <si>
    <t>BEP</t>
  </si>
  <si>
    <t>Total Fixed exp</t>
  </si>
  <si>
    <t>Add: Deprication</t>
  </si>
  <si>
    <t>PV Factor @ 10 %</t>
  </si>
  <si>
    <t>Disc Cash Flow</t>
  </si>
  <si>
    <t>Total Discounted Cash Flows</t>
  </si>
  <si>
    <t>Present Value of Outflow</t>
  </si>
  <si>
    <t>NPV</t>
  </si>
  <si>
    <t>Add. Preliminary exp Written off</t>
  </si>
  <si>
    <t>ASSETS</t>
  </si>
  <si>
    <t>Current Assets</t>
  </si>
  <si>
    <t>1. Inflation is assumed to be 5% anually.</t>
  </si>
  <si>
    <t>Month 1</t>
  </si>
  <si>
    <t>Month 2</t>
  </si>
  <si>
    <t>Month 3</t>
  </si>
  <si>
    <t>Month 4</t>
  </si>
  <si>
    <t>Month 5</t>
  </si>
  <si>
    <t>Month 6</t>
  </si>
  <si>
    <t>Month 7</t>
  </si>
  <si>
    <t>Month 8</t>
  </si>
  <si>
    <t>Month 9</t>
  </si>
  <si>
    <t>Month 10</t>
  </si>
  <si>
    <t>Month 11</t>
  </si>
  <si>
    <t>Month 12</t>
  </si>
  <si>
    <t>Month 13</t>
  </si>
  <si>
    <t>Month 14</t>
  </si>
  <si>
    <t>Month 15</t>
  </si>
  <si>
    <t>Month 16</t>
  </si>
  <si>
    <t>Month 17</t>
  </si>
  <si>
    <t>Month 18</t>
  </si>
  <si>
    <t>Month 19</t>
  </si>
  <si>
    <t>Month 20</t>
  </si>
  <si>
    <t>Month 21</t>
  </si>
  <si>
    <t>Month 22</t>
  </si>
  <si>
    <t>Month 23</t>
  </si>
  <si>
    <t>Month 24</t>
  </si>
  <si>
    <t>Month 25</t>
  </si>
  <si>
    <t>Month 26</t>
  </si>
  <si>
    <t>Month 27</t>
  </si>
  <si>
    <t>Month 28</t>
  </si>
  <si>
    <t>Month 29</t>
  </si>
  <si>
    <t>Month 30</t>
  </si>
  <si>
    <t>Month 31</t>
  </si>
  <si>
    <t>Month 32</t>
  </si>
  <si>
    <t>Month 33</t>
  </si>
  <si>
    <t>Month 34</t>
  </si>
  <si>
    <t>Month 35</t>
  </si>
  <si>
    <t>Month 36</t>
  </si>
  <si>
    <t>Month 37</t>
  </si>
  <si>
    <t>Month 38</t>
  </si>
  <si>
    <t>Month 39</t>
  </si>
  <si>
    <t>Month 40</t>
  </si>
  <si>
    <t>Month 41</t>
  </si>
  <si>
    <t>Month 42</t>
  </si>
  <si>
    <t>Month 43</t>
  </si>
  <si>
    <t>Month 44</t>
  </si>
  <si>
    <t>Month 45</t>
  </si>
  <si>
    <t>Month 46</t>
  </si>
  <si>
    <t>Month 47</t>
  </si>
  <si>
    <t>Month 48</t>
  </si>
  <si>
    <t>Month 49</t>
  </si>
  <si>
    <t>Month 50</t>
  </si>
  <si>
    <t>Month 51</t>
  </si>
  <si>
    <t>Month 52</t>
  </si>
  <si>
    <t>Month 53</t>
  </si>
  <si>
    <t>Month 54</t>
  </si>
  <si>
    <t>Month 55</t>
  </si>
  <si>
    <t>Month 56</t>
  </si>
  <si>
    <t>Month 57</t>
  </si>
  <si>
    <t>Month 58</t>
  </si>
  <si>
    <t>Month 59</t>
  </si>
  <si>
    <t>Month 60</t>
  </si>
  <si>
    <t>Month 61</t>
  </si>
  <si>
    <t>Month 62</t>
  </si>
  <si>
    <t>Month 63</t>
  </si>
  <si>
    <t>Month 64</t>
  </si>
  <si>
    <t>Month 65</t>
  </si>
  <si>
    <t>Month 66</t>
  </si>
  <si>
    <t>Month 67</t>
  </si>
  <si>
    <t>Month 68</t>
  </si>
  <si>
    <t>Month 69</t>
  </si>
  <si>
    <t>Month 70</t>
  </si>
  <si>
    <t>Month 71</t>
  </si>
  <si>
    <t>Month 72</t>
  </si>
  <si>
    <t>Average net profit</t>
  </si>
  <si>
    <t>ROI</t>
  </si>
  <si>
    <t>Revenue</t>
  </si>
  <si>
    <t>Particular</t>
  </si>
  <si>
    <t>Opperating profit</t>
  </si>
  <si>
    <t>Total Expenses</t>
  </si>
  <si>
    <t>Telephone and internet Exp</t>
  </si>
  <si>
    <t xml:space="preserve">         Total Admin Expense</t>
  </si>
  <si>
    <t>Unit</t>
  </si>
  <si>
    <t>Average BEP</t>
  </si>
  <si>
    <t>Own Contribution</t>
  </si>
  <si>
    <t>Operating cost</t>
  </si>
  <si>
    <t>Profit Before Depreciation ,Interest and Tax</t>
  </si>
  <si>
    <t>Amortization</t>
  </si>
  <si>
    <t>Profit Before Interest and Tax</t>
  </si>
  <si>
    <t>Output</t>
  </si>
  <si>
    <t>Dal Mill</t>
  </si>
  <si>
    <t>Husk and Powder</t>
  </si>
  <si>
    <t>Expenses</t>
  </si>
  <si>
    <t>Total Revenue</t>
  </si>
  <si>
    <t>Electricity Charges</t>
  </si>
  <si>
    <t>Sr. No.</t>
  </si>
  <si>
    <t>No. of Unit</t>
  </si>
  <si>
    <t>Rate per unit</t>
  </si>
  <si>
    <t>Land</t>
  </si>
  <si>
    <t>Sq. ft.</t>
  </si>
  <si>
    <t>Lease</t>
  </si>
  <si>
    <t>Description</t>
  </si>
  <si>
    <t>No. Required</t>
  </si>
  <si>
    <t>Rate</t>
  </si>
  <si>
    <t>Total HP</t>
  </si>
  <si>
    <t>Land and Building</t>
  </si>
  <si>
    <t>Machinery and Equipment</t>
  </si>
  <si>
    <t>Working Capital</t>
  </si>
  <si>
    <t>Bank Finance - Long Term Loan</t>
  </si>
  <si>
    <t>Amount (Rs.)</t>
  </si>
  <si>
    <t>Vehical</t>
  </si>
  <si>
    <t>Land Lease</t>
  </si>
  <si>
    <t>Capacity</t>
  </si>
  <si>
    <t>No. of Hours</t>
  </si>
  <si>
    <t>Bengal Gram</t>
  </si>
  <si>
    <t>Red Gram</t>
  </si>
  <si>
    <t>Job Work (50%)</t>
  </si>
  <si>
    <t>Quantity for sale (50%)</t>
  </si>
  <si>
    <t>Soybean</t>
  </si>
  <si>
    <t>Y7</t>
  </si>
  <si>
    <t>Y6</t>
  </si>
  <si>
    <t>No. of Operation Days</t>
  </si>
  <si>
    <t>Subtotal</t>
  </si>
  <si>
    <t>Transportation Cost</t>
  </si>
  <si>
    <t>A</t>
  </si>
  <si>
    <t>B</t>
  </si>
  <si>
    <t>C</t>
  </si>
  <si>
    <t>D</t>
  </si>
  <si>
    <t>Vegetable</t>
  </si>
  <si>
    <t>Kharif Crops</t>
  </si>
  <si>
    <t>Urea</t>
  </si>
  <si>
    <t>Pesticide</t>
  </si>
  <si>
    <t>DAP</t>
  </si>
  <si>
    <t>Rabi Crop</t>
  </si>
  <si>
    <t>Requirement of Input material</t>
  </si>
  <si>
    <t>Seeds</t>
  </si>
  <si>
    <t>Fertilizers</t>
  </si>
  <si>
    <t>Dupont Coragen</t>
  </si>
  <si>
    <t>Confidor Boyer</t>
  </si>
  <si>
    <t>Machine Operator</t>
  </si>
  <si>
    <t>Accountant</t>
  </si>
  <si>
    <t>Printing &amp; Stationary</t>
  </si>
  <si>
    <t>Misc.expenses</t>
  </si>
  <si>
    <t>Audit and Legal Compliences expenses</t>
  </si>
  <si>
    <t>Support Staff</t>
  </si>
  <si>
    <t>Watchmen</t>
  </si>
  <si>
    <t>As per companies Act</t>
  </si>
  <si>
    <t>As per IT Act</t>
  </si>
  <si>
    <t>Assets</t>
  </si>
  <si>
    <t>Asset Value</t>
  </si>
  <si>
    <t>Accumulated Depreciation</t>
  </si>
  <si>
    <t>Net Fixed Assets</t>
  </si>
  <si>
    <t>Building</t>
  </si>
  <si>
    <t>Plant and Machinary</t>
  </si>
  <si>
    <t>Furniture and Electrification</t>
  </si>
  <si>
    <t>Gross Fixed Asset</t>
  </si>
  <si>
    <t xml:space="preserve">Total Depreciation </t>
  </si>
  <si>
    <t>Accumalated Depreciation</t>
  </si>
  <si>
    <t>Amortization: Straight Line Method (SLM) is used</t>
  </si>
  <si>
    <t>Companies Act</t>
  </si>
  <si>
    <t>IT Act</t>
  </si>
  <si>
    <t>Depreciation: Straight Line Method (SLM) is used</t>
  </si>
  <si>
    <t>SLM</t>
  </si>
  <si>
    <t>WDV</t>
  </si>
  <si>
    <t>IT and Infrastructure</t>
  </si>
  <si>
    <t>Plant and machinery</t>
  </si>
  <si>
    <t>Pre-operative or pre-incubation</t>
  </si>
  <si>
    <t>Month 73</t>
  </si>
  <si>
    <t>Month 74</t>
  </si>
  <si>
    <t>Month 75</t>
  </si>
  <si>
    <t>Month 76</t>
  </si>
  <si>
    <t>Month 77</t>
  </si>
  <si>
    <t>Month 78</t>
  </si>
  <si>
    <t>Month 79</t>
  </si>
  <si>
    <t>Month 80</t>
  </si>
  <si>
    <t>Month 81</t>
  </si>
  <si>
    <t>Month 82</t>
  </si>
  <si>
    <t>Month 83</t>
  </si>
  <si>
    <t>Month 84</t>
  </si>
  <si>
    <t>EBT</t>
  </si>
  <si>
    <t>Add Depreciation as per companies Act</t>
  </si>
  <si>
    <t>Less Depreciation as per IT Act</t>
  </si>
  <si>
    <t xml:space="preserve">Sr. </t>
  </si>
  <si>
    <t>Equity/ Share capital</t>
  </si>
  <si>
    <t>Long Term Loan</t>
  </si>
  <si>
    <t>Short Term Loan</t>
  </si>
  <si>
    <t>Sub Total (A)</t>
  </si>
  <si>
    <t>Cash Outflow (Rs.)</t>
  </si>
  <si>
    <t>Capital Expenditure</t>
  </si>
  <si>
    <t>a</t>
  </si>
  <si>
    <t>b</t>
  </si>
  <si>
    <t>Operational Expenditure</t>
  </si>
  <si>
    <t>LTL - Principal</t>
  </si>
  <si>
    <t>LTL - Interest</t>
  </si>
  <si>
    <t>STL - Principal</t>
  </si>
  <si>
    <t>STL - Interest</t>
  </si>
  <si>
    <t>Tax</t>
  </si>
  <si>
    <t>Sub Total (B)</t>
  </si>
  <si>
    <t>Net Cash Flow (A-B)</t>
  </si>
  <si>
    <t>Opening Cash and Bank</t>
  </si>
  <si>
    <t>Cumulative Cash Balance</t>
  </si>
  <si>
    <t>Cash and Bank Balance</t>
  </si>
  <si>
    <t>Accounts Receivables</t>
  </si>
  <si>
    <t>Total Current Assets</t>
  </si>
  <si>
    <t>Gross Fixed Assets</t>
  </si>
  <si>
    <t>Less: Depriciation</t>
  </si>
  <si>
    <t>Preliminary Expenses</t>
  </si>
  <si>
    <t>TOTAL ASSETS</t>
  </si>
  <si>
    <t>LIABILITIES &amp; SHAREHOLDERS EQUITY</t>
  </si>
  <si>
    <t>CURRENT LIABILITIES</t>
  </si>
  <si>
    <t>Short Term Debt (Working capital loan)</t>
  </si>
  <si>
    <t>Accounts Payable &amp; Accrued Expenses</t>
  </si>
  <si>
    <t>Other Current Liabilities</t>
  </si>
  <si>
    <t>Total Curent Liabilities</t>
  </si>
  <si>
    <t xml:space="preserve">Secured Long Term Debt </t>
  </si>
  <si>
    <t>Differed Tax Liabilities</t>
  </si>
  <si>
    <t>TOTAL LIABILITIES</t>
  </si>
  <si>
    <t>Share capital</t>
  </si>
  <si>
    <t>Reserves and Surplus</t>
  </si>
  <si>
    <t>Add: Opening Balance (P/L Account)</t>
  </si>
  <si>
    <t>Profit &amp; Loss) During the Year</t>
  </si>
  <si>
    <t>Appropriation - Dividend</t>
  </si>
  <si>
    <t>Total Reserves</t>
  </si>
  <si>
    <t xml:space="preserve">TOTAL EQUITY </t>
  </si>
  <si>
    <t>TOTAL LIABILITIES &amp; EQUITY</t>
  </si>
  <si>
    <t>CONTROL TICKER</t>
  </si>
  <si>
    <t>(=Liability - Asset)</t>
  </si>
  <si>
    <t>c</t>
  </si>
  <si>
    <t>Vehicle</t>
  </si>
  <si>
    <t>d</t>
  </si>
  <si>
    <t>Premilinary Expenses</t>
  </si>
  <si>
    <t>Year 7</t>
  </si>
  <si>
    <t>IRR</t>
  </si>
  <si>
    <t>Initial Investment</t>
  </si>
  <si>
    <t>Cashflow - Initial Investment</t>
  </si>
  <si>
    <t>Payback period (in years) - Project</t>
  </si>
  <si>
    <t>Total Annual EMI</t>
  </si>
  <si>
    <t>Output (KG)</t>
  </si>
  <si>
    <t>Seeds (Rate/KG)</t>
  </si>
  <si>
    <t>Fertilizer(Rate/KG)</t>
  </si>
  <si>
    <t>Unit Cost</t>
  </si>
  <si>
    <t>Taxable Income</t>
  </si>
  <si>
    <t>Year</t>
  </si>
  <si>
    <t>Loading &amp; Unloading</t>
  </si>
  <si>
    <t>Reivestment</t>
  </si>
  <si>
    <t>Dal Mill Unit</t>
  </si>
  <si>
    <t>Job Work Charges</t>
  </si>
  <si>
    <t>Loading/Unloading Charges</t>
  </si>
  <si>
    <t>packaging Exp</t>
  </si>
  <si>
    <t>Transportation Charges</t>
  </si>
  <si>
    <t>Total expenses</t>
  </si>
  <si>
    <t>MT</t>
  </si>
  <si>
    <t>Warehouse</t>
  </si>
  <si>
    <t>No.of Month</t>
  </si>
  <si>
    <t>Capacity Utilisation</t>
  </si>
  <si>
    <t>Dunnage</t>
  </si>
  <si>
    <t>Fumigation</t>
  </si>
  <si>
    <t>Eletricity</t>
  </si>
  <si>
    <t>Total Hours in a year</t>
  </si>
  <si>
    <t>Variable Expenses</t>
  </si>
  <si>
    <t>Diesel</t>
  </si>
  <si>
    <t>Daily Labour</t>
  </si>
  <si>
    <t>Fixed Cost</t>
  </si>
  <si>
    <t>Driver</t>
  </si>
  <si>
    <t>Variable Cost</t>
  </si>
  <si>
    <t>Daily Lobour</t>
  </si>
  <si>
    <t>Operating Income</t>
  </si>
  <si>
    <t>Operaing Income</t>
  </si>
  <si>
    <t>Black Gram</t>
  </si>
  <si>
    <t>Green Gram</t>
  </si>
  <si>
    <t>Pulses</t>
  </si>
  <si>
    <t xml:space="preserve">Black Gram </t>
  </si>
  <si>
    <t>Red gram</t>
  </si>
  <si>
    <t>Black gram</t>
  </si>
  <si>
    <t xml:space="preserve">Daily Labour </t>
  </si>
  <si>
    <t>Total Variable Cost</t>
  </si>
  <si>
    <t>Total Quantity Stored per Annum</t>
  </si>
  <si>
    <t>Warehouse Manager</t>
  </si>
  <si>
    <t>Storage Charges per MT per Month</t>
  </si>
  <si>
    <t>Total Fixed Cost</t>
  </si>
  <si>
    <t>Rent</t>
  </si>
  <si>
    <t>Agri Input Center Manager</t>
  </si>
  <si>
    <t>Electricty Charges</t>
  </si>
  <si>
    <t>Total Cost</t>
  </si>
  <si>
    <t>IT Infrastracture</t>
  </si>
  <si>
    <t>Furniture &amp; Fixture</t>
  </si>
  <si>
    <t xml:space="preserve">Govt. Grant under SMART Project </t>
  </si>
  <si>
    <t>e</t>
  </si>
  <si>
    <t>f</t>
  </si>
  <si>
    <t>Y0</t>
  </si>
  <si>
    <t>Debt Service Coverage  Ratio (DCSR)</t>
  </si>
  <si>
    <t xml:space="preserve">Avergae DSCR </t>
  </si>
  <si>
    <t>Net Operating Income</t>
  </si>
  <si>
    <t>Years</t>
  </si>
  <si>
    <t>Total Value</t>
  </si>
  <si>
    <t>Add: Opening Stock</t>
  </si>
  <si>
    <t>Less: Closing Stock</t>
  </si>
  <si>
    <t>Purchase Price</t>
  </si>
  <si>
    <t>Initial Investment/ Net Cash Accrual</t>
  </si>
  <si>
    <t>Closing Stock</t>
  </si>
  <si>
    <t>Accounts Receivables (Debtors)</t>
  </si>
  <si>
    <t>Accounts Payable &amp; Accrued Expenses (Creditors)</t>
  </si>
  <si>
    <t>Quantity Variation (+5%)</t>
  </si>
  <si>
    <t>Total Income</t>
  </si>
  <si>
    <t>Expenditure</t>
  </si>
  <si>
    <t>Fixed Cost (Excl. of Depreciation, Amortization and Interest)</t>
  </si>
  <si>
    <t>Total Operational Expenses</t>
  </si>
  <si>
    <t>Net Income</t>
  </si>
  <si>
    <t>Cost Variation (+5%)</t>
  </si>
  <si>
    <t>Quantity Variation (-5%)</t>
  </si>
  <si>
    <t>Cost Variation (-5%)</t>
  </si>
  <si>
    <t>50 Kg</t>
  </si>
  <si>
    <t>Kg</t>
  </si>
  <si>
    <t>Quintals</t>
  </si>
  <si>
    <t>Oil (Liters)</t>
  </si>
  <si>
    <t>Custom Hiring</t>
  </si>
  <si>
    <t>Cleaning &amp; Grading</t>
  </si>
  <si>
    <t>Duration (In days)</t>
  </si>
  <si>
    <t>Opening Stock</t>
  </si>
  <si>
    <t>Agri Input</t>
  </si>
  <si>
    <t>Purachse Price</t>
  </si>
  <si>
    <t>Total Cost of Production</t>
  </si>
  <si>
    <t>Quantity Variance</t>
  </si>
  <si>
    <t>Cost Variance</t>
  </si>
  <si>
    <t>Amount  (Rs.)</t>
  </si>
  <si>
    <t>IT &amp; It Infrastracture</t>
  </si>
  <si>
    <t>Profit after Tax &amp; Dividend</t>
  </si>
  <si>
    <t>Break Even Point (BEP)</t>
  </si>
  <si>
    <t>Project Viable</t>
  </si>
  <si>
    <t>&lt;60%</t>
  </si>
  <si>
    <t>Avg. Return on Capital Employed Average (ROCE)</t>
  </si>
  <si>
    <t>&gt;20%</t>
  </si>
  <si>
    <t>Internal Rate of Return (IRR)</t>
  </si>
  <si>
    <t>&gt;12%</t>
  </si>
  <si>
    <t>Net present value (at a discount rate of 10 per cent)</t>
  </si>
  <si>
    <t>Positive</t>
  </si>
  <si>
    <t>Payback period</t>
  </si>
  <si>
    <t>Debt Service Coverage Ratio (DSCR)</t>
  </si>
  <si>
    <t>NPV is high and positive at a conservative project life of 7 years</t>
  </si>
  <si>
    <t>&lt;7 years</t>
  </si>
  <si>
    <t xml:space="preserve">           &gt;2</t>
  </si>
  <si>
    <t>No.of Unit</t>
  </si>
  <si>
    <t>No.</t>
  </si>
  <si>
    <t>Months</t>
  </si>
  <si>
    <t>Lumsum</t>
  </si>
  <si>
    <t>Maximum Tax rate</t>
  </si>
  <si>
    <t>Season</t>
  </si>
  <si>
    <t>Crop</t>
  </si>
  <si>
    <t>Total Production (In Quintals)</t>
  </si>
  <si>
    <t>Marketable Surplus ( In Quintals)</t>
  </si>
  <si>
    <t>Kharif</t>
  </si>
  <si>
    <t>Maize</t>
  </si>
  <si>
    <t>Rabbi</t>
  </si>
  <si>
    <t>Wheat</t>
  </si>
  <si>
    <t>Bengal Gram/Channa</t>
  </si>
  <si>
    <t>Jawar</t>
  </si>
  <si>
    <t xml:space="preserve">Note- Please note the crops/fruits/vegetable grown in the FPC catchement which has marketable Surplus </t>
  </si>
  <si>
    <t>Need to change/Place Values Manually</t>
  </si>
  <si>
    <t>Need to change figures subject to</t>
  </si>
  <si>
    <t>SSP</t>
  </si>
  <si>
    <t xml:space="preserve">Present Value Equivalent </t>
  </si>
  <si>
    <t>Projected Consolidated Profit and Loss account is to give a projection of how much money you will bring in by selling products or services and how much profit you will make from these sales.</t>
  </si>
  <si>
    <t>A projected balance sheet, also referred to as pro forma balance sheet, lists specific account balances on a business' assets, liabilities and equity for a specified future time. Using a projected balance sheet, financial personnel can present lenders and investors with detailed financial information about planned future asset expansion, making it easier to persuade capital providers to supply the required financing.</t>
  </si>
  <si>
    <t>A projected cash flow statement is used to evaluate cash inflows and outflows to deter. mine when, how much, and for how long cash deficits or surpluses will exist for a farm business during an upcoming time period. </t>
  </si>
  <si>
    <t>This Sheet provide details of land and various construction, including area, rate per unit and total amount</t>
  </si>
  <si>
    <t>This Sheet provide details of Plant &amp; Machinary, including Capacity, rate per machaine, Power Consuption and total amount</t>
  </si>
  <si>
    <t>This Sheet provide details of furniture and fixture, no.of Quantity, rate per unit and total amount</t>
  </si>
  <si>
    <t>Working capital, also known as net working capital (NWC), is the difference between a company’s current assets, such as accounts receivable (customers’ unpaid bills), and inventories of raw materials and finished goods, and its current liabilities, such as accounts payable.This sheet provide requirement of working capital for running business</t>
  </si>
  <si>
    <t>Total Project Costs means  the costs incurred or to be incurred by a FPC in connection with or incidental to the Construction and acquisition of assets including preoprtaive expenditure , design, construction and Working Capital</t>
  </si>
  <si>
    <t>This sheet provide details of how total project cost will raised</t>
  </si>
  <si>
    <t>This Sheet Provide details of loan repayment schedule. The borrower is able to check how much of the monthly EMI is being allocated towards the repayment of the principal outstanding and interest respectively, depending on the rate of interest and tenure of the loan.</t>
  </si>
  <si>
    <t>Closing Stock is an amount of unsold stock lying in your business on a given date. In simple words, it's the inventory which is still in your business waiting to be sold for a given period. The closing stock can be in various forms such as raw materials, in-process goods (WIP) or finished goods</t>
  </si>
  <si>
    <t xml:space="preserve">This sheet provide details of sale, expenses and operating profit of agri input activity </t>
  </si>
  <si>
    <t xml:space="preserve">This sheet provide details of sale, expenses and operating profit of custom hiring activity </t>
  </si>
  <si>
    <t>This sheet provide details capacity utilization of machines and also sale, expenses and operating profit of trading activity</t>
  </si>
  <si>
    <t>This sheet provide details capacity utilization of machines and also sale, expenses and operating profit of Dal Mill activity</t>
  </si>
  <si>
    <t>This Sheet refer for provision of tax calculation</t>
  </si>
  <si>
    <t>The internal rate of return (IRR) is a ratio used in financial analysis to estimate the profitability of potential investments. IRR is a discount rate that makes the net present value (NPV) of all cash flows equal to zero in a discounted cash flow analysis.</t>
  </si>
  <si>
    <t>Break-even point (BEP) is a term in accounting that refers to the situation where a company’s revenues and expenses were equal within a specific period. It means that there were no net profits or no net losses for the company The main purpose of break-even analysis is to determine the minimum output that must be exceeded for a business to profit.</t>
  </si>
  <si>
    <t>Net present value is the present value of the cash flows at the required rate of return of your project compared to your initial investment. If the NPV of a project or investment is positive, it means that the discounted present value of all future cash flows related to that project or investment will be positive.</t>
  </si>
  <si>
    <t>Return on investment (ROI) is a performance measure used to evaluate the efficiency or profitability of an investment</t>
  </si>
  <si>
    <t>The payback period refers to the amount of time it takes to recover the cost of an investment </t>
  </si>
  <si>
    <t>the debt-service coverage ratio (DSCR) is a measurement of a firm's available cash flow to pay current debt obligations. The DSCR shows investors whether a company has enough income to pay its debts.</t>
  </si>
  <si>
    <t>Custom Hiring Equipment</t>
  </si>
  <si>
    <t>Working Days</t>
  </si>
  <si>
    <t>No.of Hours in day</t>
  </si>
  <si>
    <t>No.of Equipment</t>
  </si>
  <si>
    <t>Required Hrs/Acre</t>
  </si>
  <si>
    <t xml:space="preserve">Total Acres </t>
  </si>
  <si>
    <t>No.of Liters Diesel Required/acre</t>
  </si>
  <si>
    <t>Service Charges/Acre (Amount (Rs.)</t>
  </si>
  <si>
    <t>Labour Requirement</t>
  </si>
  <si>
    <t xml:space="preserve">Total no.of Liters required </t>
  </si>
  <si>
    <t>Litres</t>
  </si>
  <si>
    <t>Total No. of Days Labour Reuired</t>
  </si>
  <si>
    <t>No. of Days</t>
  </si>
  <si>
    <t xml:space="preserve">Custom Hiring Charges </t>
  </si>
  <si>
    <t>This Sheet provide details of vehicles, no.of vehicle, rate per vehicle and total amount</t>
  </si>
  <si>
    <t>Preliminary expenses are considered as prior expenses before the beginning of business or Projects</t>
  </si>
  <si>
    <t>Packaging (In Kg)</t>
  </si>
  <si>
    <t>Cultivation In (%)</t>
  </si>
  <si>
    <t>Trading</t>
  </si>
  <si>
    <t>Process</t>
  </si>
  <si>
    <t>total</t>
  </si>
  <si>
    <t>%</t>
  </si>
  <si>
    <t>Input</t>
  </si>
  <si>
    <t>Total Land under Cultivaion ( In Acres)</t>
  </si>
  <si>
    <t>Yield/Acres  (In Quintals)</t>
  </si>
  <si>
    <t>Transporation Cost/100 Kg</t>
  </si>
  <si>
    <t>Gunny Bags/100 Kg</t>
  </si>
  <si>
    <t>Total Quantity to be Processed</t>
  </si>
  <si>
    <t>Dal (80%)</t>
  </si>
  <si>
    <t>Summer</t>
  </si>
  <si>
    <t xml:space="preserve">Grant (%) </t>
  </si>
  <si>
    <t>Grant Amount (Rs.)</t>
  </si>
  <si>
    <t>Loan Amount (Rs)</t>
  </si>
  <si>
    <t>Interest rate /PA</t>
  </si>
  <si>
    <t>Loan Tenure in years</t>
  </si>
  <si>
    <t>Moratorium Period ( In Months)</t>
  </si>
  <si>
    <t>Qtls P Hour</t>
  </si>
  <si>
    <t>Quanity for Processing and Trading for PC</t>
  </si>
  <si>
    <t>Bajra</t>
  </si>
  <si>
    <t>Grains</t>
  </si>
  <si>
    <t>Fruit and Vegetables</t>
  </si>
  <si>
    <t>Tentative Wastage Percentage</t>
  </si>
  <si>
    <t>Commodity</t>
  </si>
  <si>
    <t>Percentage</t>
  </si>
  <si>
    <t>Green Gram/ Moong</t>
  </si>
  <si>
    <t>Black Gram/Udid</t>
  </si>
  <si>
    <t>Paddy/Rice</t>
  </si>
  <si>
    <t>Red Gram/Tur</t>
  </si>
  <si>
    <t>Sunflower</t>
  </si>
  <si>
    <t>Safflower</t>
  </si>
  <si>
    <t>Groundnut</t>
  </si>
  <si>
    <t>Area Under Summer Cultivation ( In Acres)</t>
  </si>
  <si>
    <t>Area Under Rabbi Cultivation ( In Acres)</t>
  </si>
  <si>
    <t>Onion</t>
  </si>
  <si>
    <t>Tomato</t>
  </si>
  <si>
    <t>Okra</t>
  </si>
  <si>
    <t>Chilli</t>
  </si>
  <si>
    <t>Brinjal</t>
  </si>
  <si>
    <t>Potato</t>
  </si>
  <si>
    <t>Pomegranate</t>
  </si>
  <si>
    <t>Custard Apple</t>
  </si>
  <si>
    <t>Guava</t>
  </si>
  <si>
    <t>Citrus</t>
  </si>
  <si>
    <t>Total No.of Members  Cultivating F &amp; V</t>
  </si>
  <si>
    <t>Total No.of Non-members  Cultivating F &amp; V</t>
  </si>
  <si>
    <t>Average Land Holding per member(Acres)</t>
  </si>
  <si>
    <t>Total Cultivated Land Under F &amp; V (Acres)</t>
  </si>
  <si>
    <t>Total No.of Members Cultivating Grain Crops</t>
  </si>
  <si>
    <t>Total No.of Non- members Cultivating Grain Crops</t>
  </si>
  <si>
    <t>Average Land Holding  per Member (Acres)</t>
  </si>
  <si>
    <t>Fruit  &amp; Vegetables Crop Production Details</t>
  </si>
  <si>
    <t>Area Under Vegetables in Rabbi Season ( In Acres)</t>
  </si>
  <si>
    <t>Area Under Vegetables in Summer Season ( In Acres)</t>
  </si>
  <si>
    <t>Area Under Fruit Crops ( In Acres)</t>
  </si>
  <si>
    <t>Total Cultivated Land under grain Crop(Acres)</t>
  </si>
  <si>
    <t>Faclitiy 5 - Agri Input Centre</t>
  </si>
  <si>
    <t>Faclitiy 1 - Cleaning &amp; Grading</t>
  </si>
  <si>
    <t>Faclitiy 2 - Processing Unit- Dal Mill</t>
  </si>
  <si>
    <t>Faclitiy 3 - Warehouse</t>
  </si>
  <si>
    <t xml:space="preserve">Faclitiy 4 - Custom Hiring </t>
  </si>
  <si>
    <t>Cumuilative Profit</t>
  </si>
  <si>
    <t>Loan Repayment</t>
  </si>
  <si>
    <t>Preliminary &amp; Pre- operative Expenses</t>
  </si>
  <si>
    <t>Smart Grant -in-Aid</t>
  </si>
  <si>
    <t>Total F &amp; V Quantity to be Processed</t>
  </si>
  <si>
    <t>Total Grains Quantity to be Processed</t>
  </si>
  <si>
    <t xml:space="preserve">Job Work for Grains </t>
  </si>
  <si>
    <t>Quanity for trading of Grains</t>
  </si>
  <si>
    <t>No.of Working Days</t>
  </si>
  <si>
    <t xml:space="preserve">Horticulture Processing </t>
  </si>
  <si>
    <t>Pomegranate Juice</t>
  </si>
  <si>
    <t>Pomegranate Powder</t>
  </si>
  <si>
    <t>Pomegranate Arils</t>
  </si>
  <si>
    <t>Ltrs</t>
  </si>
  <si>
    <t>Quiantals</t>
  </si>
  <si>
    <t>Pomegranate Arils 1 Kg</t>
  </si>
  <si>
    <t>Pomegranate Juice 1 Ltrs</t>
  </si>
  <si>
    <t>Pomegranate Peel Powder1 Kg</t>
  </si>
  <si>
    <t>Pomegatnte</t>
  </si>
  <si>
    <t>Other Consumbales</t>
  </si>
  <si>
    <t>Facility 6 - Processing Unit - Horti Commodity</t>
  </si>
  <si>
    <t>Processing Unit - Horti Commodity</t>
  </si>
  <si>
    <t>Grain Processing - Dal Mill</t>
  </si>
  <si>
    <t>F &amp; V Processing - Pomegrantes</t>
  </si>
  <si>
    <t>Cost Of Production/Quintals</t>
  </si>
  <si>
    <t>Assumption:</t>
  </si>
  <si>
    <t>Closing stock of each facility is 5%</t>
  </si>
  <si>
    <t>Asumption:</t>
  </si>
  <si>
    <t>25 % of Working Capital will be financed by the company and balance 75% from bank finance at 12% rate of interest</t>
  </si>
  <si>
    <t>Sensitivity analysis is a financial model that determines how target variables are affected based on changes in Quantity or cost variance known as input variables.Here it is assume 5% (+,-) while calculating sensitivity analysis</t>
  </si>
  <si>
    <t>Assumptions:</t>
  </si>
  <si>
    <t>35% of total produce of the cluster will be trade in first year and it will increase everyear year by 5 %</t>
  </si>
  <si>
    <t>5% of total produce of the cluster will be Process in first year and it will increase everyear year by 5 %</t>
  </si>
  <si>
    <t xml:space="preserve">65% of total land of members is considered for Agri input service centre business </t>
  </si>
  <si>
    <t>Revenue and cost is related to this facility only</t>
  </si>
  <si>
    <t>Common expenditure such as admin, depreciation and amortization not considered.</t>
  </si>
  <si>
    <t xml:space="preserve">Grain Processing </t>
  </si>
  <si>
    <t>Area under crop (In Acres)</t>
  </si>
  <si>
    <t>1.1 Total Project Cost</t>
  </si>
  <si>
    <t>1.2 Means of Finance</t>
  </si>
  <si>
    <t>1.3 Financial Indicators</t>
  </si>
  <si>
    <t>3.1 Schedule of General Admin Expenses</t>
  </si>
  <si>
    <t>3.3 Amortization Schedule</t>
  </si>
  <si>
    <t>3.4 Tax Schedule</t>
  </si>
  <si>
    <t xml:space="preserve">4.1 Repayment Schedule </t>
  </si>
  <si>
    <t>5.1 Closing and Opening Stock Calculation</t>
  </si>
  <si>
    <t>5.2 Working Capital Calculation</t>
  </si>
  <si>
    <t>6.1 Consolidated Profit and loss account for the Project</t>
  </si>
  <si>
    <t>7.1 Balancesheet  for the Project</t>
  </si>
  <si>
    <t>8.1 Cash Flow Statement for the Project</t>
  </si>
  <si>
    <t>9.1 Internal Rate of Return</t>
  </si>
  <si>
    <t>9.2 Break even Point</t>
  </si>
  <si>
    <t>9.3 Net Presnt Value</t>
  </si>
  <si>
    <t>9.4 Return On Investments</t>
  </si>
  <si>
    <t>9.5 Payback Period (In years) - Project</t>
  </si>
  <si>
    <t>9.6 Debt Service Covergae Ratio (DSCR)</t>
  </si>
  <si>
    <t>9.7 Sensitivity Analysis</t>
  </si>
  <si>
    <t>10.1 Details of members and non- members</t>
  </si>
  <si>
    <t xml:space="preserve">10.2 Statement Showing Area,production,productivity and marketable Surplus of Crops </t>
  </si>
  <si>
    <t>10.3 Quantity of Marketable Surplus Produce Considered for Trading Business</t>
  </si>
  <si>
    <t>10.4 Quantity of Marketable Surplus Produce Considered for Processing Business</t>
  </si>
  <si>
    <t>10.5 Crop-wise Area Considered for Agri Input Service Centre</t>
  </si>
  <si>
    <t>11.1 Details of members and non- members</t>
  </si>
  <si>
    <t xml:space="preserve">11.2 Statement Showing Area,production,productivity and marketable Surplus of Crops </t>
  </si>
  <si>
    <t>11.3 Quantity of Marketable Surplus Produce Considered for Trading Business</t>
  </si>
  <si>
    <t>11.4 Quantity of Marketable Surplus Produce Considered for Processing Business</t>
  </si>
  <si>
    <t>11.5 Crop-wise Area Considered for Agri Input Service Centre</t>
  </si>
  <si>
    <t>Facility 3 - Trading Unit</t>
  </si>
  <si>
    <t>12.1 Producers/ Capacity Utilization</t>
  </si>
  <si>
    <t>12.2 Facility 1 - Profit and loss of Trading</t>
  </si>
  <si>
    <t>Facility 2 - Grain Processing Unit - Dal Mill</t>
  </si>
  <si>
    <t>13.1 Producers/ Capacity Utilization</t>
  </si>
  <si>
    <t>13.2 Facility 2 - Profit and loss of Grain Processing Unit - Dal Mill</t>
  </si>
  <si>
    <t>Facility 3 - Warehouse</t>
  </si>
  <si>
    <t>14.1 Capacity Utilization</t>
  </si>
  <si>
    <t>14.2 Facility 3 - Profit and loss of Warehouse</t>
  </si>
  <si>
    <t>Facility 4 - Custom Hiring</t>
  </si>
  <si>
    <t>15.1 Capacity Utlization</t>
  </si>
  <si>
    <t>15.2 Facility 4 - Profit and loss of Custom Hiring</t>
  </si>
  <si>
    <t>Facility 5 - Agri Input</t>
  </si>
  <si>
    <t>Facility 5 - Profit and loss of Agri Input</t>
  </si>
  <si>
    <t xml:space="preserve">Facility 6 - F &amp; V Processing Unit </t>
  </si>
  <si>
    <t>17.1 Producer/Capacity Utlization</t>
  </si>
  <si>
    <t>17.2 Activity 6 - Profit and loss of F &amp; V Processing Unit</t>
  </si>
  <si>
    <t>30% of total produce of the cluster will be trade in first year and it will increase everyear year by 5 %</t>
  </si>
  <si>
    <t>10% of total produce of the cluster will be Process in first year and it will increase everyear year by 5 %</t>
  </si>
  <si>
    <t>Inflation is assumed to be 5% anually.</t>
  </si>
  <si>
    <t>Other Current Assets</t>
  </si>
  <si>
    <t>Grains Crops and  Production Details</t>
  </si>
  <si>
    <t>Financial ratio</t>
  </si>
  <si>
    <t>Estimated</t>
  </si>
  <si>
    <t>Result</t>
  </si>
  <si>
    <t>Permissible limit</t>
  </si>
  <si>
    <t xml:space="preserve">BEP shall be less than 60% </t>
  </si>
  <si>
    <t xml:space="preserve">RoCE  for the project shall be more than 20% </t>
  </si>
  <si>
    <t xml:space="preserve">The project internal rate of return shall be more than 12% </t>
  </si>
  <si>
    <t xml:space="preserve">With a discount rate of 10% and a span of 7 operational years, the NPV should be positive </t>
  </si>
  <si>
    <t xml:space="preserve">The Pack Back Period (Project/ Equity) shall be less than 7 years </t>
  </si>
  <si>
    <t>DSCR shall be more than 2 for better performing project.</t>
  </si>
  <si>
    <t>Steps</t>
  </si>
  <si>
    <t>Remark</t>
  </si>
  <si>
    <t xml:space="preserve">1.0 About the calculator </t>
  </si>
  <si>
    <t xml:space="preserve">2.0 Features </t>
  </si>
  <si>
    <t>Colour code</t>
  </si>
  <si>
    <t xml:space="preserve">CAPEX Details </t>
  </si>
  <si>
    <t>Other expenditure and taxes</t>
  </si>
  <si>
    <t xml:space="preserve">Closing stock and working capital </t>
  </si>
  <si>
    <t>Sheet No</t>
  </si>
  <si>
    <t>Profit and Loss Statement</t>
  </si>
  <si>
    <t>Cash Flow Statement</t>
  </si>
  <si>
    <t>Balance Sheet</t>
  </si>
  <si>
    <t xml:space="preserve">Facility-1 / Business activity -Trading </t>
  </si>
  <si>
    <t>Facility-3 Business activity -Warehouse</t>
  </si>
  <si>
    <t xml:space="preserve">Facility-4 Business activity -Custom hiring </t>
  </si>
  <si>
    <t>Facility-5 Business activity - Agri. Input</t>
  </si>
  <si>
    <t xml:space="preserve">Facility-2 / Business activity - Processing (Grain, pulses, oilseed) </t>
  </si>
  <si>
    <t>Facility-6 Business activity -Processing  (Horti. Produce)</t>
  </si>
  <si>
    <t>Step-1</t>
  </si>
  <si>
    <t>Step-2</t>
  </si>
  <si>
    <t>Step-3</t>
  </si>
  <si>
    <t>Step-4</t>
  </si>
  <si>
    <t>Step-5</t>
  </si>
  <si>
    <t>Step-6</t>
  </si>
  <si>
    <t>Step-7</t>
  </si>
  <si>
    <t>Grain production details &amp; or F &amp; V production details  (Marketable surplus)</t>
  </si>
  <si>
    <t>Financial indicators  (IRR, BEP,NPV, ROI, Pay back period, DSCR, sensitivity analysis )</t>
  </si>
  <si>
    <t>Transport vehical  (Refer van and other)</t>
  </si>
  <si>
    <t xml:space="preserve">4.0 Colour codes used </t>
  </si>
  <si>
    <t xml:space="preserve">5.0 Guidance  note for using calculator </t>
  </si>
  <si>
    <t xml:space="preserve">Generate automatically </t>
  </si>
  <si>
    <t xml:space="preserve">Draft Business Plan Financial Calculator </t>
  </si>
  <si>
    <t>Project cost and Means of finance with financial indicators</t>
  </si>
  <si>
    <t>Consumption in (%)</t>
  </si>
  <si>
    <t>Bank Loan (% )</t>
  </si>
  <si>
    <t>Note for users</t>
  </si>
  <si>
    <r>
      <t xml:space="preserve">The business plan financial calculator will be the tool to generate the financial projection of the business plan based on the certain data inputs. </t>
    </r>
    <r>
      <rPr>
        <b/>
        <sz val="11"/>
        <color theme="1"/>
        <rFont val="Calibri"/>
        <family val="2"/>
        <scheme val="minor"/>
      </rPr>
      <t xml:space="preserve">It will be the tool which can be easily used by any professional who understand the basic accounting. The business plan financial calculator will generate following statements automatically based on certain data inputs:
</t>
    </r>
    <r>
      <rPr>
        <sz val="11"/>
        <color theme="1"/>
        <rFont val="Calibri"/>
        <family val="2"/>
        <scheme val="minor"/>
      </rPr>
      <t>1. Profit and Loss Statement
2. Cash Flow Statement
3. Balance Sheet
4</t>
    </r>
    <r>
      <rPr>
        <sz val="11"/>
        <color rgb="FFC00000"/>
        <rFont val="Calibri"/>
        <family val="2"/>
        <scheme val="minor"/>
      </rPr>
      <t xml:space="preserve">. </t>
    </r>
    <r>
      <rPr>
        <sz val="11"/>
        <rFont val="Calibri"/>
        <family val="2"/>
        <scheme val="minor"/>
      </rPr>
      <t xml:space="preserve">Depreciation, amortization and tax calculation </t>
    </r>
    <r>
      <rPr>
        <sz val="11"/>
        <color theme="1"/>
        <rFont val="Calibri"/>
        <family val="2"/>
        <scheme val="minor"/>
      </rPr>
      <t xml:space="preserve">
It will also auto calculate the following financial ratios to understand the viability of the business plan / Full Project Proposal:
1. Break Even Point
2. Internal Rate of Return
3. Net Present Value
4. Return on Capital Employed
5. Project Payback Period
6. DSCR
7.Sensitivity analysis </t>
    </r>
    <r>
      <rPr>
        <b/>
        <sz val="11"/>
        <color theme="1"/>
        <rFont val="Calibri"/>
        <family val="2"/>
        <scheme val="minor"/>
      </rPr>
      <t xml:space="preserve">
The above ratios will help  decision makers for approving the business plan / Full Project Report.</t>
    </r>
  </si>
  <si>
    <t xml:space="preserve">3.0 Preparatory work </t>
  </si>
  <si>
    <t xml:space="preserve">Sheet name </t>
  </si>
  <si>
    <t xml:space="preserve"> Sheet in which need to enter data</t>
  </si>
  <si>
    <t>Sheet No. 10 for grain and 11 for F &amp; V</t>
  </si>
  <si>
    <t>Sheet No. 2</t>
  </si>
  <si>
    <t>Please add bank loan per cent if applicable other wise put zero</t>
  </si>
  <si>
    <t>Sheet No. 1</t>
  </si>
  <si>
    <t xml:space="preserve">Please fill necessary details in yellow cells  for calculating revenue and expenditure of identified business activities only. </t>
  </si>
  <si>
    <t>Sheet No. 12</t>
  </si>
  <si>
    <t>Sheet No. 13</t>
  </si>
  <si>
    <t>Sheet No. 14</t>
  </si>
  <si>
    <t>Sheet No. 15</t>
  </si>
  <si>
    <t>Sheet No. 16</t>
  </si>
  <si>
    <t>Sheet No. 17</t>
  </si>
  <si>
    <t>Please add staff salary and other details in Yellow cell (in 3.1 table only)</t>
  </si>
  <si>
    <t xml:space="preserve">TL repayment schedule </t>
  </si>
  <si>
    <t>Please add interest rate, tenure and Moratorium Period ( In Month) in green cells</t>
  </si>
  <si>
    <t>Sheet No. 4</t>
  </si>
  <si>
    <t>Please add necessary details in yellow and green cells</t>
  </si>
  <si>
    <t>Sheet No. 5</t>
  </si>
  <si>
    <t xml:space="preserve">Auto generating sheets  (No need to enter any data) </t>
  </si>
  <si>
    <t>B1</t>
  </si>
  <si>
    <t>Sheet No. 6</t>
  </si>
  <si>
    <t>B2</t>
  </si>
  <si>
    <t>Sheet No. 7</t>
  </si>
  <si>
    <t>B3</t>
  </si>
  <si>
    <t>Sheet No. 8</t>
  </si>
  <si>
    <t>B4</t>
  </si>
  <si>
    <t>Sheet No.9</t>
  </si>
  <si>
    <t>B5</t>
  </si>
  <si>
    <t xml:space="preserve">Depreciation, amortization and tax calculation </t>
  </si>
  <si>
    <t>Step-8</t>
  </si>
  <si>
    <t xml:space="preserve">Copy relevant tables in word file of FPP </t>
  </si>
  <si>
    <t xml:space="preserve">Please fill data in yellow colour cells i.e. members no, non-members , average area etc. </t>
  </si>
  <si>
    <t xml:space="preserve">Kindly fill yellow cells by using rates mentioned in estimates of civil structures and quotation's of machineries and equipment's </t>
  </si>
  <si>
    <t xml:space="preserve">Business activity wise revenue, expenditure  and profit calculation </t>
  </si>
  <si>
    <t xml:space="preserve">1.0 Please collect basic data of targeted commodities in the cluster accurately (area, productivity and consumption at HH level ) 
2.0 Finalize Business activity in consultation with CBO members  and officials / experts.
3.0 Accordingly, please add  CAPEX details i.e. related to building, machinery and other infrastructure properly. 
4.0 In CAPEX SHEET, please refer area and rates mentioned in estimates of civil structures prepared by engineer whereas quotation's in case of  machinery and other equipment or material. 
5.0 Please write down assumptions clearly for each business activity  (example- produce  aggregation and bulk marketing  in  the form of % in Y-1, Y-2.......... ) 
</t>
  </si>
  <si>
    <r>
      <t>1.0 It helps in preparing financial projections for both type of sub-projects.i.e. Grain and Frutis &amp; Vegetables.  
2.0 It can be easily used by any person / professional who understand the basic accounting.
3.0 Assist planners to map marketable surplus of key commodities quickly.
3.0 This tool will generate P  &amp; L , Cash flow statement and balance sheet automatically.
4.0 The calculator helps to prepare all  categories of business plans envisaged in SMART Project viz. PPs, MAPs, CIIs, Warehousing related)
5.0 It will also calculate all ratios automatically</t>
    </r>
    <r>
      <rPr>
        <sz val="11"/>
        <color rgb="FFC00000"/>
        <rFont val="Calibri"/>
        <family val="2"/>
        <scheme val="minor"/>
      </rPr>
      <t xml:space="preserve">. </t>
    </r>
  </si>
  <si>
    <t>Sheet No. 3 (Ref. 3.2 &amp; 3.3)</t>
  </si>
  <si>
    <t>Sheet no.3 (Ref. 3.1 table only)</t>
  </si>
  <si>
    <t>p</t>
  </si>
  <si>
    <t xml:space="preserve"> </t>
  </si>
  <si>
    <t>Other Pre-operative expenses</t>
  </si>
  <si>
    <t>Furniture</t>
  </si>
  <si>
    <t>Security Guard</t>
  </si>
  <si>
    <t>Rotawetor</t>
  </si>
  <si>
    <t>Trolly</t>
  </si>
  <si>
    <t>F &amp; V Processing Machinary</t>
  </si>
  <si>
    <t>This Sheet provide details of IT &amp; IT infrastructure, no.of Quantity, rate per unit and total amount</t>
  </si>
  <si>
    <t xml:space="preserve">  </t>
  </si>
  <si>
    <t>Accumulated Losses C/f</t>
  </si>
  <si>
    <t>Net Taxable profit</t>
  </si>
  <si>
    <t>MAT</t>
  </si>
  <si>
    <t>Tax as per regular provision</t>
  </si>
  <si>
    <t>Provision for Income Tax</t>
  </si>
  <si>
    <t>Mininum Alternate Tax</t>
  </si>
  <si>
    <t>Total Project cost/Capital Employed</t>
  </si>
  <si>
    <t>Manager</t>
  </si>
  <si>
    <t>Managing Director</t>
  </si>
  <si>
    <t>Rate of Interest assumed as 10%</t>
  </si>
  <si>
    <t>Moratorium Period 12 Months</t>
  </si>
  <si>
    <t>Supervisor</t>
  </si>
  <si>
    <t>Lab Technician</t>
  </si>
  <si>
    <t>Godown capacity utilised for trading</t>
  </si>
  <si>
    <t>Capacity for rent computation</t>
  </si>
  <si>
    <t>Repair &amp; Maintainance</t>
  </si>
  <si>
    <t>Insurance</t>
  </si>
  <si>
    <t>Insurance for Godown Building</t>
  </si>
  <si>
    <t>Insurance for stock in godown</t>
  </si>
  <si>
    <t>Confidor Bayer</t>
  </si>
  <si>
    <t>Principal</t>
  </si>
  <si>
    <t>Interest</t>
  </si>
  <si>
    <t>No.of Operation</t>
  </si>
  <si>
    <t>Revenue generated</t>
  </si>
  <si>
    <t>Soyabean</t>
  </si>
  <si>
    <t>Office Furniture</t>
  </si>
  <si>
    <t>panel</t>
  </si>
  <si>
    <t>IT Infrastructure</t>
  </si>
  <si>
    <t>Hikvision 16 Channel NVR</t>
  </si>
  <si>
    <t>IP Camera Bullet(Color)</t>
  </si>
  <si>
    <t>IP Dome camera</t>
  </si>
  <si>
    <t>Hard Disk</t>
  </si>
  <si>
    <t>POE Switch</t>
  </si>
  <si>
    <t>RH-45 Connector</t>
  </si>
  <si>
    <t>Camera PVC BOX</t>
  </si>
  <si>
    <t>Camera Installation Charge</t>
  </si>
  <si>
    <t xml:space="preserve">Dal Mil Shed </t>
  </si>
  <si>
    <t>Quintals/Hour</t>
  </si>
  <si>
    <t>Company has to give credit for sale at 7 Days</t>
  </si>
  <si>
    <t>4 Sheet Grader</t>
  </si>
  <si>
    <t>Bucket Elevator</t>
  </si>
  <si>
    <t xml:space="preserve">Single roller </t>
  </si>
  <si>
    <t>Screw Conveyer</t>
  </si>
  <si>
    <t>Buff Polisher</t>
  </si>
  <si>
    <t>Dryer</t>
  </si>
  <si>
    <t>Dal Mill Blour</t>
  </si>
  <si>
    <t>Fadfada Machine</t>
  </si>
  <si>
    <t>Pipe line connection</t>
  </si>
  <si>
    <t>Merallic Sellar</t>
  </si>
  <si>
    <t>Pully,Belt,Bering</t>
  </si>
  <si>
    <t>Electrical Motor</t>
  </si>
  <si>
    <t>Taper Tank</t>
  </si>
  <si>
    <t>Oil &amp; Water Tank with stand</t>
  </si>
  <si>
    <t>Platform</t>
  </si>
  <si>
    <t>Sortex Machine</t>
  </si>
  <si>
    <t>Electric (Starter,Kebal,Control Panel,Hit control)</t>
  </si>
  <si>
    <t xml:space="preserve">                                                                               3.2 Depreciation</t>
  </si>
  <si>
    <t>Moong</t>
  </si>
  <si>
    <t>Udid</t>
  </si>
  <si>
    <t>Whaeat</t>
  </si>
  <si>
    <t>50KG</t>
  </si>
  <si>
    <t>Qtls</t>
  </si>
  <si>
    <t>Electric Power Diesel Generator</t>
  </si>
  <si>
    <t>Bank Finance</t>
  </si>
  <si>
    <t>Company will receive credit from suppliers for 11-12 days</t>
  </si>
  <si>
    <t>Net owned fund used for Working Capital</t>
  </si>
  <si>
    <t>Notes  : The means of finance are considered seperatetely are not included in above</t>
  </si>
  <si>
    <t>Working Capital (For disclosure)</t>
  </si>
  <si>
    <t>Note : Working capital amount is Net working capital requirement as computed for first year of operation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</si>
</sst>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43" formatCode="_ * #,##0.00_ ;_ * \-#,##0.00_ ;_ * &quot;-&quot;??_ ;_ @_ "/>
    <numFmt numFmtId="164" formatCode="_(* #,##0.00_);_(* \(#,##0.00\);_(* &quot;-&quot;??_);_(@_)"/>
    <numFmt numFmtId="165" formatCode="_-&quot;£&quot;* #,##0.00_-;\-&quot;£&quot;* #,##0.00_-;_-&quot;£&quot;* &quot;-&quot;??_-;_-@_-"/>
    <numFmt numFmtId="166" formatCode="_-* #,##0.00_-;\-* #,##0.00_-;_-* &quot;-&quot;??_-;_-@_-"/>
    <numFmt numFmtId="167" formatCode="&quot;Rs.&quot;\ #,##0.00;[Red]&quot;Rs.&quot;\ \-#,##0.00"/>
    <numFmt numFmtId="168" formatCode="_-* #,##0_-;\-* #,##0_-;_-* &quot;-&quot;??_-;_-@_-"/>
    <numFmt numFmtId="169" formatCode="_-&quot;Rs.&quot;* #,##0.00_-;\-&quot;Rs.&quot;* #,##0.00_-;_-&quot;Rs.&quot;* &quot;-&quot;??_-;_-@_-"/>
    <numFmt numFmtId="170" formatCode="_(* #,##0_);_(* \(#,##0\);_(* &quot;-&quot;??_);_(@_)"/>
    <numFmt numFmtId="171" formatCode="0.0%"/>
    <numFmt numFmtId="172" formatCode="_ * #,##0_ ;_ * \-#,##0_ ;_ * &quot;-&quot;??_ ;_ @_ "/>
    <numFmt numFmtId="173" formatCode="#,##0_ ;[Red]\-#,##0\ "/>
    <numFmt numFmtId="174" formatCode="#,##0.00_ ;[Red]\-#,##0.00\ "/>
    <numFmt numFmtId="175" formatCode="_(* #,##0.0000_);_(* \(#,##0.0000\);_(* &quot;-&quot;??_);_(@_)"/>
    <numFmt numFmtId="176" formatCode="_ * #,##0.0_ ;_ * \-#,##0.0_ ;_ * &quot;-&quot;??_ ;_ @_ "/>
    <numFmt numFmtId="177" formatCode="0.0"/>
    <numFmt numFmtId="178" formatCode="_(* #,##0.0_);_(* \(#,##0.0\);_(* &quot;-&quot;??_);_(@_)"/>
    <numFmt numFmtId="179" formatCode="0.0000"/>
  </numFmts>
  <fonts count="69" x14ac:knownFonts="1">
    <font>
      <sz val="11"/>
      <color theme="1"/>
      <name val="Calibri"/>
      <family val="2"/>
      <scheme val="minor"/>
    </font>
    <font>
      <sz val="11"/>
      <color theme="1"/>
      <name val="Calibri"/>
      <family val="2"/>
      <scheme val="minor"/>
    </font>
    <font>
      <b/>
      <sz val="11"/>
      <color theme="1"/>
      <name val="Calibri"/>
      <family val="2"/>
      <scheme val="minor"/>
    </font>
    <font>
      <sz val="13"/>
      <color indexed="8"/>
      <name val="Times New Roman"/>
      <family val="1"/>
    </font>
    <font>
      <sz val="11"/>
      <color indexed="8"/>
      <name val="Times New Roman"/>
      <family val="1"/>
    </font>
    <font>
      <sz val="12"/>
      <name val="Times New Roman"/>
      <family val="1"/>
    </font>
    <font>
      <b/>
      <sz val="11"/>
      <color indexed="8"/>
      <name val="Times New Roman"/>
      <family val="1"/>
    </font>
    <font>
      <sz val="13"/>
      <name val="Times New Roman"/>
      <family val="1"/>
    </font>
    <font>
      <sz val="10"/>
      <name val="Arial"/>
      <family val="2"/>
    </font>
    <font>
      <b/>
      <sz val="16"/>
      <color theme="1"/>
      <name val="Calibri"/>
      <family val="2"/>
      <scheme val="minor"/>
    </font>
    <font>
      <sz val="12"/>
      <color indexed="8"/>
      <name val="Times New Roman"/>
      <family val="1"/>
    </font>
    <font>
      <b/>
      <sz val="11"/>
      <color rgb="FFFFFFFF"/>
      <name val="Garamond"/>
      <family val="1"/>
    </font>
    <font>
      <sz val="11"/>
      <color rgb="FF000000"/>
      <name val="Garamond"/>
      <family val="1"/>
    </font>
    <font>
      <b/>
      <sz val="11"/>
      <color rgb="FF000000"/>
      <name val="Garamond"/>
      <family val="1"/>
    </font>
    <font>
      <b/>
      <sz val="11"/>
      <name val="Calibri"/>
      <family val="2"/>
    </font>
    <font>
      <b/>
      <sz val="11"/>
      <name val="Calibri"/>
      <family val="2"/>
      <scheme val="minor"/>
    </font>
    <font>
      <u/>
      <sz val="10"/>
      <color indexed="12"/>
      <name val="Arial"/>
      <family val="2"/>
    </font>
    <font>
      <sz val="11"/>
      <name val="Calibri"/>
      <family val="2"/>
    </font>
    <font>
      <sz val="11"/>
      <color indexed="8"/>
      <name val="Calibri"/>
      <family val="2"/>
    </font>
    <font>
      <b/>
      <u/>
      <sz val="11"/>
      <color indexed="12"/>
      <name val="Calibri"/>
      <family val="2"/>
    </font>
    <font>
      <i/>
      <sz val="11"/>
      <color indexed="10"/>
      <name val="Calibri"/>
      <family val="2"/>
    </font>
    <font>
      <b/>
      <sz val="11"/>
      <color theme="0"/>
      <name val="Times New Roman"/>
      <family val="1"/>
    </font>
    <font>
      <sz val="12"/>
      <color theme="0"/>
      <name val="Times New Roman"/>
      <family val="1"/>
    </font>
    <font>
      <b/>
      <sz val="12"/>
      <color theme="0"/>
      <name val="Times New Roman"/>
      <family val="1"/>
    </font>
    <font>
      <sz val="11"/>
      <color theme="0"/>
      <name val="Times New Roman"/>
      <family val="1"/>
    </font>
    <font>
      <b/>
      <sz val="14"/>
      <color indexed="8"/>
      <name val="Times New Roman"/>
      <family val="1"/>
    </font>
    <font>
      <b/>
      <sz val="14"/>
      <color theme="1"/>
      <name val="Times New Roman"/>
      <family val="1"/>
    </font>
    <font>
      <sz val="11"/>
      <color theme="1"/>
      <name val="Times New Roman"/>
      <family val="1"/>
    </font>
    <font>
      <b/>
      <sz val="11"/>
      <color theme="1"/>
      <name val="Times New Roman"/>
      <family val="1"/>
    </font>
    <font>
      <sz val="11"/>
      <name val="Times New Roman"/>
      <family val="1"/>
    </font>
    <font>
      <b/>
      <sz val="11"/>
      <name val="Times New Roman"/>
      <family val="1"/>
    </font>
    <font>
      <b/>
      <sz val="11"/>
      <color indexed="56"/>
      <name val="Times New Roman"/>
      <family val="1"/>
    </font>
    <font>
      <b/>
      <u/>
      <sz val="11"/>
      <name val="Times New Roman"/>
      <family val="1"/>
    </font>
    <font>
      <sz val="11"/>
      <color indexed="17"/>
      <name val="Times New Roman"/>
      <family val="1"/>
    </font>
    <font>
      <b/>
      <u/>
      <sz val="11"/>
      <color indexed="60"/>
      <name val="Times New Roman"/>
      <family val="1"/>
    </font>
    <font>
      <sz val="11"/>
      <color indexed="60"/>
      <name val="Times New Roman"/>
      <family val="1"/>
    </font>
    <font>
      <b/>
      <sz val="11"/>
      <color indexed="60"/>
      <name val="Times New Roman"/>
      <family val="1"/>
    </font>
    <font>
      <b/>
      <sz val="14"/>
      <name val="Times New Roman"/>
      <family val="1"/>
    </font>
    <font>
      <b/>
      <u/>
      <sz val="11"/>
      <color indexed="8"/>
      <name val="Times New Roman"/>
      <family val="1"/>
    </font>
    <font>
      <b/>
      <i/>
      <sz val="11"/>
      <color indexed="8"/>
      <name val="Times New Roman"/>
      <family val="1"/>
    </font>
    <font>
      <b/>
      <sz val="11"/>
      <color rgb="FFFFFFFF"/>
      <name val="Times New Roman"/>
      <family val="1"/>
    </font>
    <font>
      <sz val="11"/>
      <color rgb="FF000000"/>
      <name val="Times New Roman"/>
      <family val="1"/>
    </font>
    <font>
      <b/>
      <sz val="11"/>
      <color rgb="FF000000"/>
      <name val="Times New Roman"/>
      <family val="1"/>
    </font>
    <font>
      <b/>
      <sz val="10"/>
      <color rgb="FFFFFFFF"/>
      <name val="Times New Roman"/>
      <family val="1"/>
    </font>
    <font>
      <sz val="10"/>
      <color rgb="FF000000"/>
      <name val="Times New Roman"/>
      <family val="1"/>
    </font>
    <font>
      <sz val="10"/>
      <color rgb="FF424142"/>
      <name val="Georgia"/>
      <family val="1"/>
    </font>
    <font>
      <b/>
      <sz val="11"/>
      <color rgb="FF272727"/>
      <name val="Garamond"/>
      <family val="1"/>
    </font>
    <font>
      <sz val="8"/>
      <color rgb="FF222222"/>
      <name val="Roboto"/>
    </font>
    <font>
      <b/>
      <sz val="11"/>
      <color rgb="FF222222"/>
      <name val="Garamond"/>
      <family val="1"/>
    </font>
    <font>
      <sz val="9"/>
      <name val="Arial"/>
      <family val="2"/>
    </font>
    <font>
      <b/>
      <sz val="9"/>
      <name val="Arial"/>
      <family val="2"/>
    </font>
    <font>
      <b/>
      <sz val="8"/>
      <name val="Inherit"/>
    </font>
    <font>
      <b/>
      <sz val="8"/>
      <color rgb="FF202124"/>
      <name val="Arial"/>
      <family val="2"/>
    </font>
    <font>
      <b/>
      <sz val="11"/>
      <color rgb="FF202124"/>
      <name val="Garamond"/>
      <family val="1"/>
    </font>
    <font>
      <b/>
      <sz val="11"/>
      <color theme="0"/>
      <name val="Calibri"/>
      <family val="2"/>
      <scheme val="minor"/>
    </font>
    <font>
      <b/>
      <sz val="11"/>
      <color rgb="FF202122"/>
      <name val="Garamond"/>
      <family val="1"/>
    </font>
    <font>
      <b/>
      <sz val="11"/>
      <name val="Garamond"/>
      <family val="1"/>
    </font>
    <font>
      <b/>
      <sz val="11"/>
      <color rgb="FF111111"/>
      <name val="Garamond"/>
      <family val="1"/>
    </font>
    <font>
      <sz val="11"/>
      <color theme="0"/>
      <name val="Calibri"/>
      <family val="2"/>
      <scheme val="minor"/>
    </font>
    <font>
      <b/>
      <sz val="10"/>
      <color rgb="FF000000"/>
      <name val="Times New Roman"/>
      <family val="1"/>
    </font>
    <font>
      <sz val="10"/>
      <color theme="1"/>
      <name val="Calibri"/>
      <family val="2"/>
      <scheme val="minor"/>
    </font>
    <font>
      <b/>
      <sz val="18"/>
      <color theme="1"/>
      <name val="Calibri"/>
      <family val="2"/>
      <scheme val="minor"/>
    </font>
    <font>
      <sz val="12"/>
      <color rgb="FFFF0000"/>
      <name val="Times New Roman"/>
      <family val="1"/>
    </font>
    <font>
      <b/>
      <u/>
      <sz val="18"/>
      <color theme="1"/>
      <name val="Calibri"/>
      <family val="2"/>
      <scheme val="minor"/>
    </font>
    <font>
      <sz val="11"/>
      <color rgb="FFC00000"/>
      <name val="Calibri"/>
      <family val="2"/>
      <scheme val="minor"/>
    </font>
    <font>
      <sz val="11"/>
      <name val="Calibri"/>
      <family val="2"/>
      <scheme val="minor"/>
    </font>
    <font>
      <b/>
      <sz val="11"/>
      <color rgb="FFC00000"/>
      <name val="Calibri"/>
      <family val="2"/>
      <scheme val="minor"/>
    </font>
    <font>
      <b/>
      <sz val="24"/>
      <color theme="1"/>
      <name val="Calibri"/>
      <family val="2"/>
      <scheme val="minor"/>
    </font>
    <font>
      <b/>
      <sz val="11"/>
      <color indexed="8"/>
      <name val="Calibri"/>
      <family val="2"/>
    </font>
  </fonts>
  <fills count="14">
    <fill>
      <patternFill patternType="none"/>
    </fill>
    <fill>
      <patternFill patternType="gray125"/>
    </fill>
    <fill>
      <patternFill patternType="solid">
        <fgColor theme="2" tint="-0.749992370372631"/>
        <bgColor indexed="64"/>
      </patternFill>
    </fill>
    <fill>
      <patternFill patternType="solid">
        <fgColor indexed="15"/>
        <bgColor indexed="64"/>
      </patternFill>
    </fill>
    <fill>
      <patternFill patternType="solid">
        <fgColor theme="0"/>
        <bgColor indexed="64"/>
      </patternFill>
    </fill>
    <fill>
      <patternFill patternType="solid">
        <fgColor rgb="FF333300"/>
        <bgColor indexed="64"/>
      </patternFill>
    </fill>
    <fill>
      <patternFill patternType="solid">
        <fgColor rgb="FFFFFF00"/>
        <bgColor indexed="64"/>
      </patternFill>
    </fill>
    <fill>
      <patternFill patternType="solid">
        <fgColor rgb="FF92D050"/>
        <bgColor indexed="64"/>
      </patternFill>
    </fill>
    <fill>
      <patternFill patternType="solid">
        <fgColor theme="9" tint="0.39997558519241921"/>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theme="5" tint="0.79998168889431442"/>
        <bgColor indexed="64"/>
      </patternFill>
    </fill>
    <fill>
      <patternFill patternType="solid">
        <fgColor theme="1" tint="4.9989318521683403E-2"/>
        <bgColor indexed="64"/>
      </patternFill>
    </fill>
    <fill>
      <patternFill patternType="solid">
        <fgColor theme="1"/>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medium">
        <color indexed="64"/>
      </left>
      <right style="thin">
        <color indexed="64"/>
      </right>
      <top/>
      <bottom style="thin">
        <color indexed="64"/>
      </bottom>
      <diagonal/>
    </border>
    <border>
      <left/>
      <right style="medium">
        <color indexed="64"/>
      </right>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bottom/>
      <diagonal/>
    </border>
  </borders>
  <cellStyleXfs count="11">
    <xf numFmtId="0" fontId="0" fillId="0" borderId="0"/>
    <xf numFmtId="9" fontId="1" fillId="0" borderId="0" applyFont="0" applyFill="0" applyBorder="0" applyAlignment="0" applyProtection="0"/>
    <xf numFmtId="164" fontId="1" fillId="0" borderId="0" applyFont="0" applyFill="0" applyBorder="0" applyAlignment="0" applyProtection="0"/>
    <xf numFmtId="166" fontId="1" fillId="0" borderId="0" applyFont="0" applyFill="0" applyBorder="0" applyAlignment="0" applyProtection="0"/>
    <xf numFmtId="166" fontId="8" fillId="0" borderId="0" applyFont="0" applyFill="0" applyBorder="0" applyAlignment="0" applyProtection="0"/>
    <xf numFmtId="169" fontId="8" fillId="0" borderId="0" applyFont="0" applyFill="0" applyBorder="0" applyAlignment="0" applyProtection="0"/>
    <xf numFmtId="0" fontId="8" fillId="0" borderId="0"/>
    <xf numFmtId="9" fontId="8" fillId="0" borderId="0" applyFont="0" applyFill="0" applyBorder="0" applyAlignment="0" applyProtection="0"/>
    <xf numFmtId="0" fontId="16" fillId="0" borderId="0" applyNumberFormat="0" applyFill="0" applyBorder="0" applyAlignment="0" applyProtection="0">
      <alignment vertical="top"/>
      <protection locked="0"/>
    </xf>
    <xf numFmtId="165" fontId="1" fillId="0" borderId="0" applyFont="0" applyFill="0" applyBorder="0" applyAlignment="0" applyProtection="0"/>
    <xf numFmtId="43" fontId="18" fillId="0" borderId="0" applyFont="0" applyFill="0" applyBorder="0" applyAlignment="0" applyProtection="0"/>
  </cellStyleXfs>
  <cellXfs count="522">
    <xf numFmtId="0" fontId="0" fillId="0" borderId="0" xfId="0"/>
    <xf numFmtId="0" fontId="2" fillId="0" borderId="1" xfId="0" applyFont="1" applyBorder="1"/>
    <xf numFmtId="9" fontId="0" fillId="0" borderId="0" xfId="1" applyFont="1"/>
    <xf numFmtId="9" fontId="0" fillId="0" borderId="0" xfId="0" applyNumberFormat="1"/>
    <xf numFmtId="0" fontId="2" fillId="0" borderId="0" xfId="0" applyFont="1"/>
    <xf numFmtId="10" fontId="0" fillId="0" borderId="0" xfId="0" applyNumberFormat="1"/>
    <xf numFmtId="0" fontId="0" fillId="0" borderId="0" xfId="0" applyFont="1"/>
    <xf numFmtId="0" fontId="3" fillId="0" borderId="0" xfId="0" applyFont="1"/>
    <xf numFmtId="0" fontId="4" fillId="0" borderId="0" xfId="0" applyFont="1" applyBorder="1"/>
    <xf numFmtId="0" fontId="0" fillId="0" borderId="1" xfId="0" applyBorder="1"/>
    <xf numFmtId="0" fontId="7" fillId="0" borderId="1" xfId="0" applyFont="1" applyBorder="1"/>
    <xf numFmtId="0" fontId="7" fillId="0" borderId="0" xfId="0" applyFont="1"/>
    <xf numFmtId="0" fontId="0" fillId="0" borderId="0" xfId="0" applyFill="1"/>
    <xf numFmtId="0" fontId="2" fillId="0" borderId="0" xfId="0" applyFont="1" applyAlignment="1">
      <alignment horizontal="center"/>
    </xf>
    <xf numFmtId="0" fontId="0" fillId="0" borderId="0" xfId="0" applyBorder="1" applyAlignment="1">
      <alignment horizontal="center"/>
    </xf>
    <xf numFmtId="0" fontId="2" fillId="0" borderId="0" xfId="0" applyFont="1" applyBorder="1" applyAlignment="1">
      <alignment horizontal="center"/>
    </xf>
    <xf numFmtId="4" fontId="0" fillId="0" borderId="0" xfId="0" applyNumberFormat="1"/>
    <xf numFmtId="166" fontId="0" fillId="0" borderId="0" xfId="0" applyNumberFormat="1"/>
    <xf numFmtId="0" fontId="0" fillId="0" borderId="0" xfId="0" applyAlignment="1">
      <alignment horizontal="center"/>
    </xf>
    <xf numFmtId="166" fontId="0" fillId="0" borderId="0" xfId="3" applyFont="1"/>
    <xf numFmtId="168" fontId="13" fillId="0" borderId="1" xfId="3" applyNumberFormat="1" applyFont="1" applyBorder="1" applyAlignment="1">
      <alignment horizontal="right" vertical="center" wrapText="1"/>
    </xf>
    <xf numFmtId="168" fontId="0" fillId="0" borderId="0" xfId="0" applyNumberFormat="1"/>
    <xf numFmtId="0" fontId="0" fillId="0" borderId="1" xfId="0" applyFont="1" applyFill="1" applyBorder="1"/>
    <xf numFmtId="0" fontId="0" fillId="0" borderId="1" xfId="0" applyFont="1" applyBorder="1"/>
    <xf numFmtId="170" fontId="0" fillId="0" borderId="1" xfId="2" applyNumberFormat="1" applyFont="1" applyBorder="1"/>
    <xf numFmtId="0" fontId="2" fillId="0" borderId="0" xfId="0" applyFont="1" applyFill="1"/>
    <xf numFmtId="0" fontId="14" fillId="0" borderId="0" xfId="0" applyFont="1" applyFill="1" applyBorder="1"/>
    <xf numFmtId="43" fontId="0" fillId="0" borderId="0" xfId="0" applyNumberFormat="1"/>
    <xf numFmtId="0" fontId="2" fillId="0" borderId="0" xfId="0" applyFont="1" applyAlignment="1">
      <alignment horizontal="center"/>
    </xf>
    <xf numFmtId="0" fontId="2" fillId="0" borderId="0" xfId="0" applyFont="1" applyAlignment="1">
      <alignment horizontal="center"/>
    </xf>
    <xf numFmtId="168" fontId="17" fillId="0" borderId="0" xfId="0" applyNumberFormat="1" applyFont="1" applyFill="1" applyBorder="1"/>
    <xf numFmtId="38" fontId="14" fillId="0" borderId="0" xfId="0" applyNumberFormat="1" applyFont="1" applyFill="1" applyBorder="1" applyAlignment="1">
      <alignment horizontal="left"/>
    </xf>
    <xf numFmtId="0" fontId="17" fillId="0" borderId="0" xfId="0" applyFont="1" applyFill="1" applyBorder="1"/>
    <xf numFmtId="0" fontId="19" fillId="0" borderId="0" xfId="8" applyFont="1" applyFill="1" applyBorder="1" applyAlignment="1" applyProtection="1"/>
    <xf numFmtId="174" fontId="14" fillId="0" borderId="0" xfId="9" applyNumberFormat="1" applyFont="1" applyFill="1" applyBorder="1" applyAlignment="1">
      <alignment vertical="center"/>
    </xf>
    <xf numFmtId="168" fontId="17" fillId="0" borderId="0" xfId="3" applyNumberFormat="1" applyFont="1" applyFill="1" applyBorder="1"/>
    <xf numFmtId="0" fontId="14" fillId="0" borderId="11" xfId="0" applyFont="1" applyBorder="1"/>
    <xf numFmtId="0" fontId="6" fillId="0" borderId="1" xfId="0" applyFont="1" applyFill="1" applyBorder="1" applyAlignment="1">
      <alignment wrapText="1"/>
    </xf>
    <xf numFmtId="170" fontId="4" fillId="0" borderId="1" xfId="3" applyNumberFormat="1" applyFont="1" applyFill="1" applyBorder="1" applyAlignment="1">
      <alignment wrapText="1"/>
    </xf>
    <xf numFmtId="0" fontId="4" fillId="0" borderId="1" xfId="0" applyFont="1" applyFill="1" applyBorder="1" applyAlignment="1">
      <alignment horizontal="left" wrapText="1"/>
    </xf>
    <xf numFmtId="170" fontId="6" fillId="0" borderId="1" xfId="3" applyNumberFormat="1" applyFont="1" applyFill="1" applyBorder="1" applyAlignment="1">
      <alignment wrapText="1"/>
    </xf>
    <xf numFmtId="0" fontId="4" fillId="0" borderId="1" xfId="0" applyFont="1" applyFill="1" applyBorder="1" applyAlignment="1">
      <alignment wrapText="1"/>
    </xf>
    <xf numFmtId="0" fontId="4" fillId="0" borderId="1" xfId="0" applyFont="1" applyFill="1" applyBorder="1" applyAlignment="1">
      <alignment horizontal="right" wrapText="1"/>
    </xf>
    <xf numFmtId="168" fontId="4" fillId="0" borderId="1" xfId="3" applyNumberFormat="1" applyFont="1" applyFill="1" applyBorder="1" applyAlignment="1">
      <alignment wrapText="1"/>
    </xf>
    <xf numFmtId="0" fontId="4" fillId="0" borderId="1" xfId="0" applyFont="1" applyFill="1" applyBorder="1" applyAlignment="1">
      <alignment vertical="center" wrapText="1"/>
    </xf>
    <xf numFmtId="0" fontId="6" fillId="0" borderId="1" xfId="0" applyFont="1" applyFill="1" applyBorder="1" applyAlignment="1">
      <alignment horizontal="right" wrapText="1"/>
    </xf>
    <xf numFmtId="170" fontId="4" fillId="4" borderId="1" xfId="3" applyNumberFormat="1" applyFont="1" applyFill="1" applyBorder="1" applyAlignment="1">
      <alignment wrapText="1"/>
    </xf>
    <xf numFmtId="170" fontId="6" fillId="0" borderId="1" xfId="0" applyNumberFormat="1" applyFont="1" applyFill="1" applyBorder="1" applyAlignment="1">
      <alignment wrapText="1"/>
    </xf>
    <xf numFmtId="170" fontId="4" fillId="0" borderId="1" xfId="0" applyNumberFormat="1" applyFont="1" applyFill="1" applyBorder="1" applyAlignment="1">
      <alignment wrapText="1"/>
    </xf>
    <xf numFmtId="0" fontId="6" fillId="0" borderId="1" xfId="0" applyFont="1" applyFill="1" applyBorder="1" applyAlignment="1">
      <alignment horizontal="left" wrapText="1"/>
    </xf>
    <xf numFmtId="0" fontId="17" fillId="0" borderId="0" xfId="0" applyFont="1" applyBorder="1" applyAlignment="1">
      <alignment vertical="center"/>
    </xf>
    <xf numFmtId="0" fontId="17" fillId="0" borderId="0" xfId="0" applyFont="1" applyFill="1" applyBorder="1" applyAlignment="1">
      <alignment vertical="center"/>
    </xf>
    <xf numFmtId="0" fontId="14" fillId="0" borderId="0" xfId="0" applyFont="1" applyBorder="1" applyAlignment="1">
      <alignment vertical="center"/>
    </xf>
    <xf numFmtId="4" fontId="17" fillId="0" borderId="0" xfId="0" applyNumberFormat="1" applyFont="1" applyBorder="1" applyAlignment="1">
      <alignment vertical="center"/>
    </xf>
    <xf numFmtId="0" fontId="21" fillId="2" borderId="1" xfId="0" applyFont="1" applyFill="1" applyBorder="1" applyAlignment="1">
      <alignment wrapText="1"/>
    </xf>
    <xf numFmtId="0" fontId="21" fillId="2" borderId="1" xfId="0" applyFont="1" applyFill="1" applyBorder="1" applyAlignment="1">
      <alignment horizontal="center" wrapText="1"/>
    </xf>
    <xf numFmtId="0" fontId="2" fillId="0" borderId="0" xfId="0" applyFont="1" applyAlignment="1">
      <alignment horizontal="center"/>
    </xf>
    <xf numFmtId="0" fontId="2" fillId="0" borderId="0" xfId="0" applyFont="1" applyAlignment="1">
      <alignment horizontal="center"/>
    </xf>
    <xf numFmtId="170" fontId="0" fillId="0" borderId="15" xfId="2" applyNumberFormat="1" applyFont="1" applyBorder="1"/>
    <xf numFmtId="2" fontId="2" fillId="0" borderId="0" xfId="0" applyNumberFormat="1" applyFont="1"/>
    <xf numFmtId="0" fontId="17" fillId="0" borderId="0" xfId="0" applyFont="1"/>
    <xf numFmtId="168" fontId="14" fillId="0" borderId="0" xfId="0" applyNumberFormat="1" applyFont="1"/>
    <xf numFmtId="170" fontId="0" fillId="0" borderId="0" xfId="0" applyNumberFormat="1"/>
    <xf numFmtId="3" fontId="17" fillId="0" borderId="0" xfId="0" applyNumberFormat="1" applyFont="1" applyBorder="1" applyAlignment="1">
      <alignment vertical="center"/>
    </xf>
    <xf numFmtId="0" fontId="10" fillId="0" borderId="1" xfId="0" applyFont="1" applyBorder="1" applyAlignment="1">
      <alignment horizontal="center"/>
    </xf>
    <xf numFmtId="0" fontId="5" fillId="0" borderId="1" xfId="0" applyFont="1" applyFill="1" applyBorder="1" applyAlignment="1">
      <alignment horizontal="center"/>
    </xf>
    <xf numFmtId="170" fontId="2" fillId="0" borderId="1" xfId="2" applyNumberFormat="1" applyFont="1" applyBorder="1" applyAlignment="1"/>
    <xf numFmtId="0" fontId="23" fillId="5" borderId="1" xfId="0" applyFont="1" applyFill="1" applyBorder="1" applyAlignment="1">
      <alignment horizontal="center"/>
    </xf>
    <xf numFmtId="170" fontId="4" fillId="0" borderId="1" xfId="2" applyNumberFormat="1" applyFont="1" applyFill="1" applyBorder="1" applyAlignment="1">
      <alignment wrapText="1"/>
    </xf>
    <xf numFmtId="0" fontId="4" fillId="0" borderId="1" xfId="0" applyFont="1" applyFill="1" applyBorder="1"/>
    <xf numFmtId="43" fontId="4" fillId="0" borderId="1" xfId="10" applyFont="1" applyFill="1" applyBorder="1"/>
    <xf numFmtId="172" fontId="4" fillId="0" borderId="1" xfId="10" applyNumberFormat="1" applyFont="1" applyFill="1" applyBorder="1"/>
    <xf numFmtId="0" fontId="6" fillId="0" borderId="1" xfId="0" applyFont="1" applyFill="1" applyBorder="1"/>
    <xf numFmtId="164" fontId="6" fillId="0" borderId="1" xfId="10" applyNumberFormat="1" applyFont="1" applyFill="1" applyBorder="1"/>
    <xf numFmtId="0" fontId="4" fillId="0" borderId="0" xfId="0" applyFont="1" applyFill="1"/>
    <xf numFmtId="172" fontId="4" fillId="0" borderId="0" xfId="10" applyNumberFormat="1" applyFont="1" applyFill="1"/>
    <xf numFmtId="176" fontId="4" fillId="0" borderId="1" xfId="10" applyNumberFormat="1" applyFont="1" applyFill="1" applyBorder="1"/>
    <xf numFmtId="0" fontId="21" fillId="5" borderId="1" xfId="0" applyFont="1" applyFill="1" applyBorder="1"/>
    <xf numFmtId="0" fontId="21" fillId="5" borderId="1" xfId="0" applyFont="1" applyFill="1" applyBorder="1" applyAlignment="1">
      <alignment horizontal="center"/>
    </xf>
    <xf numFmtId="0" fontId="2" fillId="0" borderId="0" xfId="0" applyFont="1" applyBorder="1" applyAlignment="1"/>
    <xf numFmtId="0" fontId="20" fillId="0" borderId="0" xfId="0" applyFont="1" applyBorder="1" applyAlignment="1">
      <alignment vertical="center"/>
    </xf>
    <xf numFmtId="0" fontId="24" fillId="5" borderId="1" xfId="0" applyFont="1" applyFill="1" applyBorder="1" applyAlignment="1">
      <alignment horizontal="left"/>
    </xf>
    <xf numFmtId="0" fontId="22" fillId="5" borderId="1" xfId="0" applyFont="1" applyFill="1" applyBorder="1" applyAlignment="1">
      <alignment horizontal="center"/>
    </xf>
    <xf numFmtId="0" fontId="4" fillId="0" borderId="1" xfId="0" applyFont="1" applyBorder="1"/>
    <xf numFmtId="4" fontId="4" fillId="0" borderId="1" xfId="0" applyNumberFormat="1" applyFont="1" applyBorder="1"/>
    <xf numFmtId="0" fontId="6" fillId="0" borderId="1" xfId="0" applyFont="1" applyBorder="1"/>
    <xf numFmtId="175" fontId="4" fillId="0" borderId="1" xfId="2" applyNumberFormat="1" applyFont="1" applyBorder="1"/>
    <xf numFmtId="170" fontId="0" fillId="0" borderId="1" xfId="2" applyNumberFormat="1" applyFont="1" applyBorder="1" applyAlignment="1"/>
    <xf numFmtId="2" fontId="2" fillId="0" borderId="1" xfId="0" applyNumberFormat="1" applyFont="1" applyBorder="1" applyAlignment="1"/>
    <xf numFmtId="0" fontId="27" fillId="0" borderId="0" xfId="0" applyFont="1"/>
    <xf numFmtId="0" fontId="27" fillId="0" borderId="1" xfId="0" applyFont="1" applyBorder="1"/>
    <xf numFmtId="170" fontId="27" fillId="0" borderId="1" xfId="2" applyNumberFormat="1" applyFont="1" applyBorder="1"/>
    <xf numFmtId="0" fontId="28" fillId="0" borderId="1" xfId="0" applyFont="1" applyBorder="1"/>
    <xf numFmtId="170" fontId="28" fillId="0" borderId="1" xfId="0" applyNumberFormat="1" applyFont="1" applyBorder="1"/>
    <xf numFmtId="0" fontId="27" fillId="0" borderId="1" xfId="0" applyFont="1" applyFill="1" applyBorder="1"/>
    <xf numFmtId="170" fontId="28" fillId="0" borderId="1" xfId="2" applyNumberFormat="1" applyFont="1" applyBorder="1" applyAlignment="1"/>
    <xf numFmtId="0" fontId="28" fillId="0" borderId="1" xfId="0" applyFont="1" applyFill="1" applyBorder="1"/>
    <xf numFmtId="2" fontId="28" fillId="0" borderId="1" xfId="0" applyNumberFormat="1" applyFont="1" applyBorder="1"/>
    <xf numFmtId="2" fontId="27" fillId="0" borderId="0" xfId="0" applyNumberFormat="1" applyFont="1"/>
    <xf numFmtId="0" fontId="24" fillId="5" borderId="1" xfId="0" applyFont="1" applyFill="1" applyBorder="1" applyAlignment="1">
      <alignment horizontal="center"/>
    </xf>
    <xf numFmtId="0" fontId="4" fillId="0" borderId="1" xfId="0" applyFont="1" applyBorder="1" applyAlignment="1">
      <alignment horizontal="center"/>
    </xf>
    <xf numFmtId="0" fontId="29" fillId="0" borderId="1" xfId="0" applyFont="1" applyFill="1" applyBorder="1" applyAlignment="1">
      <alignment horizontal="center"/>
    </xf>
    <xf numFmtId="170" fontId="4" fillId="0" borderId="1" xfId="2" applyNumberFormat="1" applyFont="1" applyBorder="1" applyAlignment="1">
      <alignment horizontal="center"/>
    </xf>
    <xf numFmtId="0" fontId="0" fillId="0" borderId="1" xfId="0" applyFont="1" applyBorder="1" applyAlignment="1">
      <alignment horizontal="center" vertical="center"/>
    </xf>
    <xf numFmtId="0" fontId="27" fillId="0" borderId="1" xfId="0" applyFont="1" applyBorder="1" applyAlignment="1">
      <alignment wrapText="1"/>
    </xf>
    <xf numFmtId="2" fontId="27" fillId="0" borderId="1" xfId="0" applyNumberFormat="1" applyFont="1" applyBorder="1"/>
    <xf numFmtId="164" fontId="27" fillId="0" borderId="0" xfId="0" applyNumberFormat="1" applyFont="1"/>
    <xf numFmtId="170" fontId="27" fillId="0" borderId="0" xfId="2" applyNumberFormat="1" applyFont="1"/>
    <xf numFmtId="0" fontId="24" fillId="5" borderId="1" xfId="0" applyFont="1" applyFill="1" applyBorder="1"/>
    <xf numFmtId="9" fontId="27" fillId="0" borderId="1" xfId="1" applyFont="1" applyBorder="1"/>
    <xf numFmtId="170" fontId="28" fillId="0" borderId="1" xfId="2" applyNumberFormat="1" applyFont="1" applyBorder="1"/>
    <xf numFmtId="0" fontId="28" fillId="0" borderId="0" xfId="0" applyFont="1"/>
    <xf numFmtId="10" fontId="28" fillId="0" borderId="0" xfId="1" applyNumberFormat="1" applyFont="1"/>
    <xf numFmtId="0" fontId="21" fillId="2" borderId="18" xfId="0" applyFont="1" applyFill="1" applyBorder="1" applyAlignment="1">
      <alignment vertical="center"/>
    </xf>
    <xf numFmtId="0" fontId="21" fillId="2" borderId="14" xfId="0" applyFont="1" applyFill="1" applyBorder="1" applyAlignment="1">
      <alignment horizontal="center"/>
    </xf>
    <xf numFmtId="0" fontId="21" fillId="2" borderId="1" xfId="0" applyFont="1" applyFill="1" applyBorder="1" applyAlignment="1">
      <alignment horizontal="center"/>
    </xf>
    <xf numFmtId="0" fontId="29" fillId="0" borderId="5" xfId="0" applyFont="1" applyFill="1" applyBorder="1" applyAlignment="1">
      <alignment vertical="center"/>
    </xf>
    <xf numFmtId="37" fontId="30" fillId="0" borderId="1" xfId="3" applyNumberFormat="1" applyFont="1" applyFill="1" applyBorder="1" applyAlignment="1">
      <alignment vertical="center"/>
    </xf>
    <xf numFmtId="3" fontId="31" fillId="0" borderId="1" xfId="9" applyNumberFormat="1" applyFont="1" applyFill="1" applyBorder="1" applyAlignment="1">
      <alignment horizontal="right" vertical="center"/>
    </xf>
    <xf numFmtId="0" fontId="32" fillId="0" borderId="5" xfId="0" applyFont="1" applyFill="1" applyBorder="1" applyAlignment="1">
      <alignment vertical="center"/>
    </xf>
    <xf numFmtId="4" fontId="29" fillId="0" borderId="1" xfId="3" applyNumberFormat="1" applyFont="1" applyFill="1" applyBorder="1" applyAlignment="1">
      <alignment vertical="center"/>
    </xf>
    <xf numFmtId="0" fontId="30" fillId="0" borderId="5" xfId="0" applyFont="1" applyFill="1" applyBorder="1" applyAlignment="1">
      <alignment horizontal="left" vertical="center"/>
    </xf>
    <xf numFmtId="4" fontId="33" fillId="0" borderId="1" xfId="3" applyNumberFormat="1" applyFont="1" applyFill="1" applyBorder="1" applyAlignment="1">
      <alignment vertical="center"/>
    </xf>
    <xf numFmtId="0" fontId="30" fillId="0" borderId="5" xfId="0" applyFont="1" applyFill="1" applyBorder="1" applyAlignment="1">
      <alignment horizontal="left" vertical="center" indent="1"/>
    </xf>
    <xf numFmtId="3" fontId="30" fillId="0" borderId="1" xfId="3" applyNumberFormat="1" applyFont="1" applyFill="1" applyBorder="1" applyAlignment="1">
      <alignment vertical="center"/>
    </xf>
    <xf numFmtId="0" fontId="29" fillId="0" borderId="5" xfId="0" applyFont="1" applyFill="1" applyBorder="1" applyAlignment="1">
      <alignment horizontal="left" vertical="center" indent="1"/>
    </xf>
    <xf numFmtId="3" fontId="29" fillId="0" borderId="1" xfId="3" applyNumberFormat="1" applyFont="1" applyFill="1" applyBorder="1" applyAlignment="1">
      <alignment vertical="center"/>
    </xf>
    <xf numFmtId="0" fontId="29" fillId="0" borderId="5" xfId="0" applyFont="1" applyFill="1" applyBorder="1" applyAlignment="1">
      <alignment horizontal="left" vertical="center"/>
    </xf>
    <xf numFmtId="0" fontId="30" fillId="0" borderId="5" xfId="0" applyFont="1" applyFill="1" applyBorder="1" applyAlignment="1">
      <alignment vertical="center"/>
    </xf>
    <xf numFmtId="3" fontId="30" fillId="0" borderId="1" xfId="9" applyNumberFormat="1" applyFont="1" applyFill="1" applyBorder="1" applyAlignment="1">
      <alignment vertical="center"/>
    </xf>
    <xf numFmtId="3" fontId="29" fillId="0" borderId="1" xfId="9" applyNumberFormat="1" applyFont="1" applyFill="1" applyBorder="1" applyAlignment="1">
      <alignment vertical="center"/>
    </xf>
    <xf numFmtId="3" fontId="33" fillId="0" borderId="1" xfId="3" applyNumberFormat="1" applyFont="1" applyFill="1" applyBorder="1" applyAlignment="1">
      <alignment vertical="center"/>
    </xf>
    <xf numFmtId="3" fontId="31" fillId="0" borderId="1" xfId="3" applyNumberFormat="1" applyFont="1" applyFill="1" applyBorder="1" applyAlignment="1">
      <alignment vertical="center"/>
    </xf>
    <xf numFmtId="3" fontId="29" fillId="0" borderId="1" xfId="0" applyNumberFormat="1" applyFont="1" applyFill="1" applyBorder="1" applyAlignment="1">
      <alignment vertical="center"/>
    </xf>
    <xf numFmtId="0" fontId="6" fillId="0" borderId="5" xfId="0" applyFont="1" applyFill="1" applyBorder="1" applyAlignment="1">
      <alignment vertical="center"/>
    </xf>
    <xf numFmtId="3" fontId="6" fillId="0" borderId="1" xfId="3" applyNumberFormat="1" applyFont="1" applyFill="1" applyBorder="1" applyAlignment="1">
      <alignment vertical="center"/>
    </xf>
    <xf numFmtId="4" fontId="29" fillId="0" borderId="1" xfId="0" applyNumberFormat="1" applyFont="1" applyFill="1" applyBorder="1" applyAlignment="1">
      <alignment vertical="center"/>
    </xf>
    <xf numFmtId="0" fontId="34" fillId="0" borderId="5" xfId="0" applyFont="1" applyFill="1" applyBorder="1" applyAlignment="1">
      <alignment vertical="center"/>
    </xf>
    <xf numFmtId="4" fontId="35" fillId="0" borderId="1" xfId="0" applyNumberFormat="1" applyFont="1" applyFill="1" applyBorder="1" applyAlignment="1">
      <alignment vertical="center"/>
    </xf>
    <xf numFmtId="0" fontId="36" fillId="0" borderId="5" xfId="0" applyFont="1" applyFill="1" applyBorder="1" applyAlignment="1">
      <alignment vertical="center"/>
    </xf>
    <xf numFmtId="4" fontId="36" fillId="0" borderId="1" xfId="9" applyNumberFormat="1" applyFont="1" applyFill="1" applyBorder="1" applyAlignment="1">
      <alignment vertical="center"/>
    </xf>
    <xf numFmtId="0" fontId="36" fillId="0" borderId="6" xfId="0" applyFont="1" applyFill="1" applyBorder="1" applyAlignment="1">
      <alignment vertical="center"/>
    </xf>
    <xf numFmtId="4" fontId="36" fillId="0" borderId="7" xfId="0" applyNumberFormat="1" applyFont="1" applyFill="1" applyBorder="1" applyAlignment="1">
      <alignment vertical="center"/>
    </xf>
    <xf numFmtId="0" fontId="21" fillId="2" borderId="1" xfId="0" applyFont="1" applyFill="1" applyBorder="1"/>
    <xf numFmtId="0" fontId="15" fillId="0" borderId="0" xfId="6" applyFont="1" applyFill="1" applyBorder="1" applyAlignment="1">
      <alignment horizontal="center"/>
    </xf>
    <xf numFmtId="0" fontId="15" fillId="0" borderId="0" xfId="6" applyFont="1" applyFill="1" applyBorder="1" applyAlignment="1"/>
    <xf numFmtId="173" fontId="29" fillId="0" borderId="1" xfId="9" applyNumberFormat="1" applyFont="1" applyFill="1" applyBorder="1" applyAlignment="1">
      <alignment vertical="center"/>
    </xf>
    <xf numFmtId="173" fontId="30" fillId="0" borderId="1" xfId="9" applyNumberFormat="1" applyFont="1" applyFill="1" applyBorder="1" applyAlignment="1">
      <alignment vertical="center"/>
    </xf>
    <xf numFmtId="0" fontId="21" fillId="5" borderId="1" xfId="0" applyFont="1" applyFill="1" applyBorder="1" applyAlignment="1">
      <alignment vertical="center"/>
    </xf>
    <xf numFmtId="0" fontId="21" fillId="5" borderId="1" xfId="0" applyFont="1" applyFill="1" applyBorder="1" applyAlignment="1">
      <alignment horizontal="center" vertical="center"/>
    </xf>
    <xf numFmtId="168" fontId="24" fillId="5" borderId="1" xfId="3" applyNumberFormat="1" applyFont="1" applyFill="1" applyBorder="1" applyAlignment="1">
      <alignment horizontal="center"/>
    </xf>
    <xf numFmtId="0" fontId="30" fillId="0" borderId="1" xfId="0" applyFont="1" applyBorder="1" applyAlignment="1">
      <alignment vertical="center"/>
    </xf>
    <xf numFmtId="0" fontId="30" fillId="0" borderId="1" xfId="0" applyFont="1" applyBorder="1" applyAlignment="1">
      <alignment horizontal="center" vertical="center"/>
    </xf>
    <xf numFmtId="168" fontId="29" fillId="0" borderId="1" xfId="3" applyNumberFormat="1" applyFont="1" applyFill="1" applyBorder="1"/>
    <xf numFmtId="0" fontId="30" fillId="0" borderId="1" xfId="0" applyFont="1" applyBorder="1"/>
    <xf numFmtId="0" fontId="29" fillId="0" borderId="1" xfId="0" applyFont="1" applyBorder="1"/>
    <xf numFmtId="168" fontId="30" fillId="0" borderId="1" xfId="0" applyNumberFormat="1" applyFont="1" applyBorder="1"/>
    <xf numFmtId="0" fontId="6" fillId="2" borderId="1" xfId="0" applyFont="1" applyFill="1" applyBorder="1"/>
    <xf numFmtId="0" fontId="38" fillId="0" borderId="1" xfId="0" applyFont="1" applyFill="1" applyBorder="1"/>
    <xf numFmtId="0" fontId="39" fillId="0" borderId="1" xfId="0" applyFont="1" applyFill="1" applyBorder="1" applyAlignment="1">
      <alignment horizontal="center"/>
    </xf>
    <xf numFmtId="0" fontId="27" fillId="0" borderId="1" xfId="0" applyFont="1" applyFill="1" applyBorder="1" applyAlignment="1">
      <alignment horizontal="left"/>
    </xf>
    <xf numFmtId="0" fontId="6" fillId="0" borderId="1" xfId="0" applyFont="1" applyFill="1" applyBorder="1" applyAlignment="1">
      <alignment horizontal="left"/>
    </xf>
    <xf numFmtId="168" fontId="29" fillId="0" borderId="1" xfId="0" applyNumberFormat="1" applyFont="1" applyFill="1" applyBorder="1"/>
    <xf numFmtId="168" fontId="30" fillId="0" borderId="1" xfId="0" applyNumberFormat="1" applyFont="1" applyFill="1" applyBorder="1"/>
    <xf numFmtId="0" fontId="21" fillId="2" borderId="1" xfId="8" applyFont="1" applyFill="1" applyBorder="1" applyAlignment="1" applyProtection="1"/>
    <xf numFmtId="0" fontId="27" fillId="0" borderId="0" xfId="0" applyFont="1" applyAlignment="1">
      <alignment horizontal="left"/>
    </xf>
    <xf numFmtId="168" fontId="29" fillId="0" borderId="0" xfId="0" applyNumberFormat="1" applyFont="1" applyFill="1" applyBorder="1"/>
    <xf numFmtId="0" fontId="6" fillId="3" borderId="0" xfId="0" applyFont="1" applyFill="1" applyBorder="1" applyAlignment="1">
      <alignment horizontal="left" wrapText="1"/>
    </xf>
    <xf numFmtId="0" fontId="6" fillId="0" borderId="0" xfId="0" applyFont="1" applyFill="1" applyBorder="1" applyAlignment="1">
      <alignment horizontal="center"/>
    </xf>
    <xf numFmtId="0" fontId="6" fillId="0" borderId="0" xfId="0" applyFont="1" applyFill="1" applyBorder="1"/>
    <xf numFmtId="0" fontId="6" fillId="0" borderId="0" xfId="0" applyFont="1" applyFill="1" applyBorder="1" applyAlignment="1">
      <alignment wrapText="1"/>
    </xf>
    <xf numFmtId="10" fontId="27" fillId="0" borderId="0" xfId="0" applyNumberFormat="1" applyFont="1" applyBorder="1"/>
    <xf numFmtId="0" fontId="27" fillId="0" borderId="0" xfId="0" applyFont="1" applyFill="1" applyBorder="1" applyAlignment="1">
      <alignment wrapText="1"/>
    </xf>
    <xf numFmtId="9" fontId="27" fillId="0" borderId="0" xfId="0" applyNumberFormat="1" applyFont="1"/>
    <xf numFmtId="10" fontId="4" fillId="0" borderId="0" xfId="1" applyNumberFormat="1" applyFont="1" applyBorder="1"/>
    <xf numFmtId="9" fontId="27" fillId="0" borderId="0" xfId="0" applyNumberFormat="1" applyFont="1" applyBorder="1"/>
    <xf numFmtId="9" fontId="27" fillId="0" borderId="0" xfId="0" applyNumberFormat="1" applyFont="1" applyFill="1" applyBorder="1"/>
    <xf numFmtId="9" fontId="27" fillId="0" borderId="0" xfId="1" applyFont="1"/>
    <xf numFmtId="10" fontId="27" fillId="0" borderId="0" xfId="0" applyNumberFormat="1" applyFont="1"/>
    <xf numFmtId="166" fontId="27" fillId="0" borderId="0" xfId="0" applyNumberFormat="1" applyFont="1" applyBorder="1"/>
    <xf numFmtId="0" fontId="27" fillId="0" borderId="0" xfId="0" applyFont="1" applyBorder="1"/>
    <xf numFmtId="0" fontId="27" fillId="0" borderId="0" xfId="0" applyFont="1" applyFill="1" applyBorder="1"/>
    <xf numFmtId="43" fontId="27" fillId="0" borderId="0" xfId="0" applyNumberFormat="1" applyFont="1" applyBorder="1"/>
    <xf numFmtId="1" fontId="27" fillId="0" borderId="0" xfId="0" applyNumberFormat="1" applyFont="1" applyBorder="1"/>
    <xf numFmtId="9" fontId="27" fillId="0" borderId="1" xfId="0" applyNumberFormat="1" applyFont="1" applyBorder="1"/>
    <xf numFmtId="43" fontId="27" fillId="0" borderId="1" xfId="0" applyNumberFormat="1" applyFont="1" applyBorder="1"/>
    <xf numFmtId="0" fontId="28" fillId="0" borderId="0" xfId="0" applyFont="1" applyAlignment="1">
      <alignment horizontal="center"/>
    </xf>
    <xf numFmtId="9" fontId="28" fillId="0" borderId="0" xfId="0" applyNumberFormat="1" applyFont="1" applyAlignment="1">
      <alignment horizontal="center"/>
    </xf>
    <xf numFmtId="10" fontId="28" fillId="0" borderId="0" xfId="0" applyNumberFormat="1" applyFont="1" applyAlignment="1">
      <alignment horizontal="center"/>
    </xf>
    <xf numFmtId="170" fontId="27" fillId="0" borderId="1" xfId="2" applyNumberFormat="1" applyFont="1" applyFill="1" applyBorder="1"/>
    <xf numFmtId="0" fontId="28" fillId="0" borderId="1" xfId="0" applyFont="1" applyBorder="1" applyAlignment="1">
      <alignment wrapText="1"/>
    </xf>
    <xf numFmtId="0" fontId="28" fillId="0" borderId="0" xfId="0" applyFont="1" applyBorder="1" applyAlignment="1">
      <alignment horizontal="center"/>
    </xf>
    <xf numFmtId="9" fontId="28" fillId="0" borderId="0" xfId="0" applyNumberFormat="1" applyFont="1" applyBorder="1" applyAlignment="1">
      <alignment horizontal="center"/>
    </xf>
    <xf numFmtId="10" fontId="28" fillId="0" borderId="0" xfId="0" applyNumberFormat="1" applyFont="1" applyBorder="1" applyAlignment="1">
      <alignment horizontal="center"/>
    </xf>
    <xf numFmtId="168" fontId="27" fillId="0" borderId="1" xfId="0" applyNumberFormat="1" applyFont="1" applyBorder="1"/>
    <xf numFmtId="168" fontId="28" fillId="0" borderId="1" xfId="3" applyNumberFormat="1" applyFont="1" applyBorder="1"/>
    <xf numFmtId="168" fontId="28" fillId="0" borderId="1" xfId="0" applyNumberFormat="1" applyFont="1" applyBorder="1"/>
    <xf numFmtId="170" fontId="27" fillId="0" borderId="1" xfId="0" applyNumberFormat="1" applyFont="1" applyBorder="1"/>
    <xf numFmtId="43" fontId="27" fillId="0" borderId="0" xfId="0" applyNumberFormat="1" applyFont="1"/>
    <xf numFmtId="168" fontId="27" fillId="0" borderId="1" xfId="3" applyNumberFormat="1" applyFont="1" applyFill="1" applyBorder="1"/>
    <xf numFmtId="168" fontId="27" fillId="0" borderId="1" xfId="0" applyNumberFormat="1" applyFont="1" applyFill="1" applyBorder="1"/>
    <xf numFmtId="168" fontId="27" fillId="0" borderId="0" xfId="0" applyNumberFormat="1" applyFont="1"/>
    <xf numFmtId="170" fontId="27" fillId="0" borderId="16" xfId="2" applyNumberFormat="1" applyFont="1" applyBorder="1"/>
    <xf numFmtId="170" fontId="28" fillId="0" borderId="1" xfId="2" applyNumberFormat="1" applyFont="1" applyBorder="1" applyAlignment="1">
      <alignment wrapText="1"/>
    </xf>
    <xf numFmtId="0" fontId="26" fillId="0" borderId="0" xfId="0" applyFont="1" applyAlignment="1"/>
    <xf numFmtId="167" fontId="27" fillId="0" borderId="0" xfId="0" applyNumberFormat="1" applyFont="1"/>
    <xf numFmtId="0" fontId="21" fillId="2" borderId="1" xfId="0" applyFont="1" applyFill="1" applyBorder="1" applyAlignment="1">
      <alignment horizontal="right"/>
    </xf>
    <xf numFmtId="2" fontId="21" fillId="2" borderId="1" xfId="0" applyNumberFormat="1" applyFont="1" applyFill="1" applyBorder="1" applyAlignment="1">
      <alignment horizontal="right"/>
    </xf>
    <xf numFmtId="0" fontId="40" fillId="2" borderId="1" xfId="0" applyFont="1" applyFill="1" applyBorder="1" applyAlignment="1">
      <alignment horizontal="center" vertical="center" wrapText="1"/>
    </xf>
    <xf numFmtId="0" fontId="41" fillId="0" borderId="1" xfId="0" applyFont="1" applyBorder="1" applyAlignment="1">
      <alignment horizontal="right" vertical="center" wrapText="1"/>
    </xf>
    <xf numFmtId="168" fontId="42" fillId="0" borderId="1" xfId="3" applyNumberFormat="1" applyFont="1" applyBorder="1" applyAlignment="1">
      <alignment horizontal="right" vertical="center" wrapText="1"/>
    </xf>
    <xf numFmtId="0" fontId="30" fillId="0" borderId="1" xfId="0" applyFont="1" applyFill="1" applyBorder="1" applyAlignment="1">
      <alignment horizontal="center" vertical="center" wrapText="1"/>
    </xf>
    <xf numFmtId="0" fontId="30" fillId="0" borderId="1" xfId="0" applyFont="1" applyFill="1" applyBorder="1" applyAlignment="1">
      <alignment horizontal="left" vertical="center" wrapText="1"/>
    </xf>
    <xf numFmtId="170" fontId="29" fillId="0" borderId="1" xfId="2" applyNumberFormat="1" applyFont="1" applyFill="1" applyBorder="1" applyAlignment="1">
      <alignment horizontal="center" vertical="center" wrapText="1"/>
    </xf>
    <xf numFmtId="0" fontId="42" fillId="0" borderId="1" xfId="0" applyFont="1" applyBorder="1" applyAlignment="1">
      <alignment horizontal="center" vertical="center" wrapText="1"/>
    </xf>
    <xf numFmtId="0" fontId="42" fillId="0" borderId="1" xfId="0" applyFont="1" applyFill="1" applyBorder="1" applyAlignment="1">
      <alignment vertical="center" wrapText="1"/>
    </xf>
    <xf numFmtId="170" fontId="41" fillId="0" borderId="1" xfId="2" applyNumberFormat="1" applyFont="1" applyFill="1" applyBorder="1" applyAlignment="1">
      <alignment horizontal="right" vertical="center" wrapText="1"/>
    </xf>
    <xf numFmtId="0" fontId="41" fillId="0" borderId="1" xfId="0" applyFont="1" applyFill="1" applyBorder="1" applyAlignment="1">
      <alignment vertical="center" wrapText="1"/>
    </xf>
    <xf numFmtId="170" fontId="42" fillId="0" borderId="1" xfId="2" applyNumberFormat="1" applyFont="1" applyFill="1" applyBorder="1" applyAlignment="1">
      <alignment horizontal="right" vertical="center" wrapText="1"/>
    </xf>
    <xf numFmtId="0" fontId="40" fillId="2" borderId="8" xfId="0" applyFont="1" applyFill="1" applyBorder="1" applyAlignment="1">
      <alignment vertical="center" wrapText="1"/>
    </xf>
    <xf numFmtId="0" fontId="40" fillId="2" borderId="4" xfId="0" applyFont="1" applyFill="1" applyBorder="1" applyAlignment="1">
      <alignment horizontal="center" vertical="center" wrapText="1"/>
    </xf>
    <xf numFmtId="168" fontId="42" fillId="0" borderId="1" xfId="3" applyNumberFormat="1" applyFont="1" applyFill="1" applyBorder="1" applyAlignment="1">
      <alignment horizontal="right" vertical="center" wrapText="1"/>
    </xf>
    <xf numFmtId="168" fontId="28" fillId="0" borderId="1" xfId="3" applyNumberFormat="1" applyFont="1" applyBorder="1" applyAlignment="1">
      <alignment horizontal="right" vertical="center" wrapText="1"/>
    </xf>
    <xf numFmtId="0" fontId="27" fillId="6" borderId="1" xfId="0" applyFont="1" applyFill="1" applyBorder="1"/>
    <xf numFmtId="0" fontId="28" fillId="6" borderId="1" xfId="0" applyFont="1" applyFill="1" applyBorder="1"/>
    <xf numFmtId="0" fontId="27" fillId="6" borderId="0" xfId="0" applyFont="1" applyFill="1"/>
    <xf numFmtId="0" fontId="29" fillId="6" borderId="0" xfId="0" applyFont="1" applyFill="1"/>
    <xf numFmtId="0" fontId="30" fillId="6" borderId="1" xfId="0" applyFont="1" applyFill="1" applyBorder="1"/>
    <xf numFmtId="0" fontId="29" fillId="6" borderId="1" xfId="0" applyFont="1" applyFill="1" applyBorder="1"/>
    <xf numFmtId="2" fontId="29" fillId="6" borderId="1" xfId="0" applyNumberFormat="1" applyFont="1" applyFill="1" applyBorder="1"/>
    <xf numFmtId="177" fontId="29" fillId="6" borderId="1" xfId="0" applyNumberFormat="1" applyFont="1" applyFill="1" applyBorder="1"/>
    <xf numFmtId="2" fontId="30" fillId="6" borderId="1" xfId="0" applyNumberFormat="1" applyFont="1" applyFill="1" applyBorder="1"/>
    <xf numFmtId="170" fontId="27" fillId="6" borderId="1" xfId="2" applyNumberFormat="1" applyFont="1" applyFill="1" applyBorder="1"/>
    <xf numFmtId="168" fontId="27" fillId="6" borderId="1" xfId="3" applyNumberFormat="1" applyFont="1" applyFill="1" applyBorder="1"/>
    <xf numFmtId="0" fontId="27" fillId="6" borderId="1" xfId="0" applyFont="1" applyFill="1" applyBorder="1" applyAlignment="1">
      <alignment wrapText="1"/>
    </xf>
    <xf numFmtId="170" fontId="27" fillId="6" borderId="1" xfId="2" applyNumberFormat="1" applyFont="1" applyFill="1" applyBorder="1" applyAlignment="1">
      <alignment wrapText="1"/>
    </xf>
    <xf numFmtId="170" fontId="28" fillId="6" borderId="1" xfId="2" applyNumberFormat="1" applyFont="1" applyFill="1" applyBorder="1"/>
    <xf numFmtId="0" fontId="42" fillId="0" borderId="1" xfId="0" applyFont="1" applyBorder="1" applyAlignment="1">
      <alignment horizontal="center" vertical="center" wrapText="1"/>
    </xf>
    <xf numFmtId="174" fontId="27" fillId="0" borderId="0" xfId="0" applyNumberFormat="1" applyFont="1"/>
    <xf numFmtId="170" fontId="0" fillId="0" borderId="1" xfId="0" applyNumberFormat="1" applyFont="1" applyBorder="1"/>
    <xf numFmtId="0" fontId="28" fillId="0" borderId="1" xfId="0" applyFont="1" applyBorder="1" applyAlignment="1">
      <alignment horizontal="center" vertical="center"/>
    </xf>
    <xf numFmtId="0" fontId="4" fillId="0" borderId="1" xfId="0" quotePrefix="1" applyFont="1" applyBorder="1" applyAlignment="1">
      <alignment horizontal="left"/>
    </xf>
    <xf numFmtId="4" fontId="7" fillId="0" borderId="1" xfId="0" applyNumberFormat="1" applyFont="1" applyBorder="1"/>
    <xf numFmtId="4" fontId="0" fillId="0" borderId="1" xfId="0" applyNumberFormat="1" applyBorder="1"/>
    <xf numFmtId="0" fontId="28" fillId="0" borderId="0" xfId="0" applyFont="1" applyBorder="1"/>
    <xf numFmtId="170" fontId="28" fillId="0" borderId="0" xfId="2" applyNumberFormat="1" applyFont="1" applyBorder="1"/>
    <xf numFmtId="0" fontId="41" fillId="0" borderId="1" xfId="0" applyFont="1" applyBorder="1" applyAlignment="1">
      <alignment horizontal="center" vertical="center" wrapText="1"/>
    </xf>
    <xf numFmtId="9" fontId="2" fillId="7" borderId="0" xfId="0" applyNumberFormat="1" applyFont="1" applyFill="1"/>
    <xf numFmtId="9" fontId="27" fillId="7" borderId="0" xfId="0" applyNumberFormat="1" applyFont="1" applyFill="1"/>
    <xf numFmtId="0" fontId="27" fillId="7" borderId="0" xfId="0" applyNumberFormat="1" applyFont="1" applyFill="1"/>
    <xf numFmtId="9" fontId="27" fillId="7" borderId="1" xfId="0" applyNumberFormat="1" applyFont="1" applyFill="1" applyBorder="1"/>
    <xf numFmtId="0" fontId="27" fillId="7" borderId="0" xfId="0" applyFont="1" applyFill="1"/>
    <xf numFmtId="9" fontId="14" fillId="7" borderId="0" xfId="1" applyFont="1" applyFill="1" applyBorder="1"/>
    <xf numFmtId="0" fontId="2" fillId="0" borderId="0" xfId="0" applyFont="1" applyAlignment="1"/>
    <xf numFmtId="0" fontId="0" fillId="6" borderId="1" xfId="0" applyFill="1" applyBorder="1"/>
    <xf numFmtId="0" fontId="0" fillId="7" borderId="1" xfId="0" applyFill="1" applyBorder="1"/>
    <xf numFmtId="0" fontId="45" fillId="0" borderId="0" xfId="0" applyFont="1"/>
    <xf numFmtId="0" fontId="0" fillId="0" borderId="0" xfId="0" applyAlignment="1">
      <alignment wrapText="1"/>
    </xf>
    <xf numFmtId="0" fontId="54" fillId="5" borderId="1" xfId="0" applyFont="1" applyFill="1" applyBorder="1"/>
    <xf numFmtId="0" fontId="54" fillId="5" borderId="1" xfId="0" applyFont="1" applyFill="1" applyBorder="1" applyAlignment="1">
      <alignment wrapText="1"/>
    </xf>
    <xf numFmtId="0" fontId="0" fillId="0" borderId="1" xfId="0" applyBorder="1" applyAlignment="1">
      <alignment horizontal="center"/>
    </xf>
    <xf numFmtId="0" fontId="54" fillId="5" borderId="2" xfId="0" applyFont="1" applyFill="1" applyBorder="1" applyAlignment="1">
      <alignment wrapText="1"/>
    </xf>
    <xf numFmtId="0" fontId="0" fillId="0" borderId="0" xfId="0" applyFill="1" applyBorder="1"/>
    <xf numFmtId="0" fontId="0" fillId="0" borderId="1" xfId="0" applyFill="1" applyBorder="1"/>
    <xf numFmtId="0" fontId="0" fillId="0" borderId="0" xfId="0" applyBorder="1"/>
    <xf numFmtId="0" fontId="27" fillId="0" borderId="1" xfId="0" applyFont="1" applyFill="1" applyBorder="1" applyAlignment="1">
      <alignment wrapText="1"/>
    </xf>
    <xf numFmtId="168" fontId="27" fillId="0" borderId="1" xfId="1" applyNumberFormat="1" applyFont="1" applyBorder="1"/>
    <xf numFmtId="43" fontId="27" fillId="0" borderId="1" xfId="0" applyNumberFormat="1" applyFont="1" applyFill="1" applyBorder="1"/>
    <xf numFmtId="9" fontId="0" fillId="6" borderId="1" xfId="1" applyFont="1" applyFill="1" applyBorder="1"/>
    <xf numFmtId="9" fontId="0" fillId="7" borderId="1" xfId="0" applyNumberFormat="1" applyFill="1" applyBorder="1"/>
    <xf numFmtId="0" fontId="2" fillId="0" borderId="11" xfId="0" applyFont="1" applyFill="1" applyBorder="1" applyAlignment="1">
      <alignment wrapText="1"/>
    </xf>
    <xf numFmtId="171" fontId="0" fillId="0" borderId="0" xfId="0" applyNumberFormat="1"/>
    <xf numFmtId="0" fontId="0" fillId="0" borderId="1" xfId="0" applyNumberFormat="1" applyBorder="1"/>
    <xf numFmtId="0" fontId="0" fillId="0" borderId="0" xfId="0" applyAlignment="1">
      <alignment horizontal="center"/>
    </xf>
    <xf numFmtId="170" fontId="27" fillId="0" borderId="0" xfId="2" applyNumberFormat="1" applyFont="1" applyBorder="1"/>
    <xf numFmtId="0" fontId="54" fillId="5" borderId="1" xfId="0" applyFont="1" applyFill="1" applyBorder="1" applyAlignment="1">
      <alignment horizontal="center"/>
    </xf>
    <xf numFmtId="0" fontId="54" fillId="0" borderId="0" xfId="0" applyFont="1" applyFill="1" applyBorder="1" applyAlignment="1">
      <alignment horizontal="center"/>
    </xf>
    <xf numFmtId="0" fontId="0" fillId="0" borderId="0" xfId="0" applyNumberFormat="1" applyFill="1" applyBorder="1"/>
    <xf numFmtId="1" fontId="0" fillId="0" borderId="0" xfId="0" applyNumberFormat="1" applyFill="1" applyBorder="1"/>
    <xf numFmtId="0" fontId="2" fillId="0" borderId="0" xfId="0" applyFont="1" applyFill="1" applyBorder="1"/>
    <xf numFmtId="170" fontId="2" fillId="0" borderId="0" xfId="2" applyNumberFormat="1" applyFont="1" applyFill="1" applyBorder="1"/>
    <xf numFmtId="1" fontId="27" fillId="0" borderId="1" xfId="0" applyNumberFormat="1" applyFont="1" applyBorder="1"/>
    <xf numFmtId="0" fontId="0" fillId="0" borderId="0" xfId="0" applyAlignment="1">
      <alignment horizontal="center"/>
    </xf>
    <xf numFmtId="0" fontId="0" fillId="0" borderId="14" xfId="0" applyBorder="1" applyAlignment="1">
      <alignment horizontal="center" vertical="center"/>
    </xf>
    <xf numFmtId="9" fontId="54" fillId="7" borderId="1" xfId="0" applyNumberFormat="1" applyFont="1" applyFill="1" applyBorder="1"/>
    <xf numFmtId="9" fontId="54" fillId="7" borderId="1" xfId="0" applyNumberFormat="1" applyFont="1" applyFill="1" applyBorder="1" applyAlignment="1">
      <alignment horizontal="center"/>
    </xf>
    <xf numFmtId="0" fontId="2" fillId="0" borderId="0" xfId="0" applyFont="1" applyAlignment="1">
      <alignment horizontal="center"/>
    </xf>
    <xf numFmtId="0" fontId="0" fillId="0" borderId="0" xfId="0" applyAlignment="1">
      <alignment horizontal="center"/>
    </xf>
    <xf numFmtId="0" fontId="40" fillId="2" borderId="1" xfId="0" applyFont="1" applyFill="1" applyBorder="1" applyAlignment="1">
      <alignment horizontal="center" vertical="center" wrapText="1"/>
    </xf>
    <xf numFmtId="0" fontId="28" fillId="0" borderId="0" xfId="0" applyFont="1" applyAlignment="1">
      <alignment horizontal="center"/>
    </xf>
    <xf numFmtId="9" fontId="0" fillId="0" borderId="1" xfId="0" applyNumberFormat="1" applyBorder="1"/>
    <xf numFmtId="0" fontId="27" fillId="7" borderId="1" xfId="0" applyFont="1" applyFill="1" applyBorder="1"/>
    <xf numFmtId="9" fontId="27" fillId="0" borderId="1" xfId="0" applyNumberFormat="1" applyFont="1" applyFill="1" applyBorder="1"/>
    <xf numFmtId="9" fontId="0" fillId="6" borderId="1" xfId="0" applyNumberFormat="1" applyFill="1" applyBorder="1"/>
    <xf numFmtId="0" fontId="0" fillId="6" borderId="1" xfId="1" applyNumberFormat="1" applyFont="1" applyFill="1" applyBorder="1"/>
    <xf numFmtId="0" fontId="0" fillId="0" borderId="20" xfId="0" applyBorder="1" applyAlignment="1">
      <alignment vertical="center" wrapText="1"/>
    </xf>
    <xf numFmtId="0" fontId="0" fillId="0" borderId="2" xfId="0" applyBorder="1" applyAlignment="1">
      <alignment vertical="center" wrapText="1"/>
    </xf>
    <xf numFmtId="0" fontId="0" fillId="0" borderId="14" xfId="0" applyBorder="1" applyAlignment="1">
      <alignment vertical="center" wrapText="1"/>
    </xf>
    <xf numFmtId="0" fontId="2" fillId="0" borderId="14" xfId="0" applyFont="1" applyBorder="1" applyAlignment="1">
      <alignment horizontal="center" vertical="center"/>
    </xf>
    <xf numFmtId="0" fontId="2" fillId="6" borderId="1" xfId="0" applyFont="1" applyFill="1" applyBorder="1"/>
    <xf numFmtId="0" fontId="2" fillId="0" borderId="1" xfId="0" applyFont="1" applyFill="1" applyBorder="1"/>
    <xf numFmtId="0" fontId="28" fillId="0" borderId="1" xfId="0" applyFont="1" applyFill="1" applyBorder="1" applyAlignment="1">
      <alignment horizontal="left"/>
    </xf>
    <xf numFmtId="170" fontId="4" fillId="0" borderId="1" xfId="2" applyNumberFormat="1" applyFont="1" applyFill="1" applyBorder="1"/>
    <xf numFmtId="172" fontId="6" fillId="0" borderId="1" xfId="10" applyNumberFormat="1" applyFont="1" applyFill="1" applyBorder="1"/>
    <xf numFmtId="170" fontId="6" fillId="0" borderId="1" xfId="2" applyNumberFormat="1" applyFont="1" applyFill="1" applyBorder="1"/>
    <xf numFmtId="3" fontId="27" fillId="0" borderId="1" xfId="0" applyNumberFormat="1" applyFont="1" applyBorder="1"/>
    <xf numFmtId="0" fontId="52" fillId="0" borderId="0" xfId="0" applyFont="1" applyAlignment="1"/>
    <xf numFmtId="0" fontId="30" fillId="5" borderId="1" xfId="0" applyFont="1" applyFill="1" applyBorder="1"/>
    <xf numFmtId="9" fontId="58" fillId="7" borderId="1" xfId="0" applyNumberFormat="1" applyFont="1" applyFill="1" applyBorder="1"/>
    <xf numFmtId="171" fontId="58" fillId="7" borderId="1" xfId="0" applyNumberFormat="1" applyFont="1" applyFill="1" applyBorder="1"/>
    <xf numFmtId="0" fontId="57" fillId="0" borderId="0" xfId="0" applyFont="1" applyAlignment="1"/>
    <xf numFmtId="0" fontId="43" fillId="2" borderId="1" xfId="0" applyFont="1" applyFill="1" applyBorder="1" applyAlignment="1">
      <alignment vertical="center" wrapText="1"/>
    </xf>
    <xf numFmtId="0" fontId="43" fillId="2" borderId="1" xfId="0" applyFont="1" applyFill="1" applyBorder="1" applyAlignment="1">
      <alignment horizontal="center" vertical="center" wrapText="1"/>
    </xf>
    <xf numFmtId="0" fontId="44" fillId="0" borderId="1" xfId="0" applyFont="1" applyBorder="1" applyAlignment="1">
      <alignment horizontal="right" vertical="center" wrapText="1"/>
    </xf>
    <xf numFmtId="0" fontId="44" fillId="0" borderId="1" xfId="0" applyFont="1" applyBorder="1" applyAlignment="1">
      <alignment vertical="center" wrapText="1"/>
    </xf>
    <xf numFmtId="168" fontId="44" fillId="0" borderId="1" xfId="3" applyNumberFormat="1" applyFont="1" applyFill="1" applyBorder="1" applyAlignment="1">
      <alignment horizontal="right" vertical="center" wrapText="1"/>
    </xf>
    <xf numFmtId="168" fontId="59" fillId="0" borderId="1" xfId="3" applyNumberFormat="1" applyFont="1" applyBorder="1" applyAlignment="1">
      <alignment horizontal="right" vertical="center" wrapText="1"/>
    </xf>
    <xf numFmtId="0" fontId="43" fillId="2" borderId="22" xfId="0" applyFont="1" applyFill="1" applyBorder="1" applyAlignment="1">
      <alignment horizontal="center" vertical="center" wrapText="1"/>
    </xf>
    <xf numFmtId="170" fontId="44" fillId="0" borderId="1" xfId="2" applyNumberFormat="1" applyFont="1" applyBorder="1" applyAlignment="1">
      <alignment vertical="center" wrapText="1"/>
    </xf>
    <xf numFmtId="9" fontId="60" fillId="7" borderId="1" xfId="0" applyNumberFormat="1" applyFont="1" applyFill="1" applyBorder="1"/>
    <xf numFmtId="170" fontId="60" fillId="0" borderId="1" xfId="0" applyNumberFormat="1" applyFont="1" applyBorder="1"/>
    <xf numFmtId="0" fontId="60" fillId="0" borderId="1" xfId="0" applyFont="1" applyBorder="1"/>
    <xf numFmtId="170" fontId="59" fillId="0" borderId="1" xfId="2" applyNumberFormat="1" applyFont="1" applyBorder="1" applyAlignment="1">
      <alignment horizontal="center" vertical="center" wrapText="1"/>
    </xf>
    <xf numFmtId="0" fontId="43" fillId="5" borderId="1" xfId="0" applyFont="1" applyFill="1" applyBorder="1" applyAlignment="1">
      <alignment vertical="center" wrapText="1"/>
    </xf>
    <xf numFmtId="0" fontId="43" fillId="5" borderId="1" xfId="0" applyFont="1" applyFill="1" applyBorder="1" applyAlignment="1">
      <alignment vertical="center"/>
    </xf>
    <xf numFmtId="0" fontId="43" fillId="5" borderId="1" xfId="0" applyFont="1" applyFill="1" applyBorder="1" applyAlignment="1">
      <alignment horizontal="center" vertical="center"/>
    </xf>
    <xf numFmtId="0" fontId="43" fillId="5" borderId="1" xfId="0" applyFont="1" applyFill="1" applyBorder="1" applyAlignment="1">
      <alignment horizontal="center" vertical="center" wrapText="1"/>
    </xf>
    <xf numFmtId="0" fontId="44" fillId="0" borderId="1" xfId="0" applyFont="1" applyBorder="1" applyAlignment="1">
      <alignment horizontal="center" vertical="center" wrapText="1"/>
    </xf>
    <xf numFmtId="10" fontId="44" fillId="0" borderId="1" xfId="0" applyNumberFormat="1" applyFont="1" applyBorder="1" applyAlignment="1">
      <alignment horizontal="center" vertical="center" wrapText="1"/>
    </xf>
    <xf numFmtId="10" fontId="44" fillId="0" borderId="1" xfId="1" applyNumberFormat="1" applyFont="1" applyBorder="1" applyAlignment="1">
      <alignment horizontal="center" vertical="center" wrapText="1"/>
    </xf>
    <xf numFmtId="3" fontId="44" fillId="0" borderId="1" xfId="0" applyNumberFormat="1" applyFont="1" applyBorder="1" applyAlignment="1">
      <alignment horizontal="center" vertical="center" wrapText="1"/>
    </xf>
    <xf numFmtId="2" fontId="44" fillId="0" borderId="1" xfId="0" applyNumberFormat="1" applyFont="1" applyBorder="1" applyAlignment="1">
      <alignment horizontal="center" vertical="center" wrapText="1"/>
    </xf>
    <xf numFmtId="0" fontId="12" fillId="0" borderId="1" xfId="0" applyFont="1" applyBorder="1" applyAlignment="1">
      <alignment vertical="center" wrapText="1"/>
    </xf>
    <xf numFmtId="0" fontId="12" fillId="0" borderId="1" xfId="0" applyFont="1" applyBorder="1" applyAlignment="1">
      <alignment horizontal="center" vertical="center" wrapText="1"/>
    </xf>
    <xf numFmtId="0" fontId="44" fillId="0" borderId="1" xfId="0" applyFont="1" applyFill="1" applyBorder="1" applyAlignment="1">
      <alignment horizontal="left" vertical="center" wrapText="1"/>
    </xf>
    <xf numFmtId="0" fontId="29" fillId="0" borderId="1" xfId="0" applyFont="1" applyFill="1" applyBorder="1" applyAlignment="1">
      <alignment horizontal="left" vertical="center" wrapText="1"/>
    </xf>
    <xf numFmtId="0" fontId="29" fillId="0" borderId="1" xfId="0" applyFont="1" applyFill="1" applyBorder="1" applyAlignment="1">
      <alignment horizontal="center" vertical="center" wrapText="1"/>
    </xf>
    <xf numFmtId="166" fontId="29" fillId="0" borderId="1" xfId="3" applyFont="1" applyFill="1" applyBorder="1" applyAlignment="1">
      <alignment horizontal="right" vertical="center" wrapText="1"/>
    </xf>
    <xf numFmtId="0" fontId="0" fillId="0" borderId="0" xfId="0" applyAlignment="1">
      <alignment vertical="center" wrapText="1"/>
    </xf>
    <xf numFmtId="0" fontId="2" fillId="0" borderId="1" xfId="0" applyFont="1" applyBorder="1" applyAlignment="1">
      <alignment vertical="center" wrapText="1"/>
    </xf>
    <xf numFmtId="0" fontId="0" fillId="0" borderId="1" xfId="0" applyBorder="1" applyAlignment="1">
      <alignment vertical="center" wrapText="1"/>
    </xf>
    <xf numFmtId="0" fontId="0" fillId="0" borderId="2" xfId="0" applyFill="1" applyBorder="1" applyAlignment="1">
      <alignment vertical="center" wrapText="1"/>
    </xf>
    <xf numFmtId="0" fontId="0" fillId="6" borderId="16" xfId="0" applyFill="1" applyBorder="1" applyAlignment="1">
      <alignment vertical="center" wrapText="1"/>
    </xf>
    <xf numFmtId="0" fontId="0" fillId="7" borderId="16" xfId="0" applyFill="1" applyBorder="1" applyAlignment="1">
      <alignment vertical="center" wrapText="1"/>
    </xf>
    <xf numFmtId="0" fontId="62" fillId="5" borderId="11" xfId="0" applyFont="1" applyFill="1" applyBorder="1" applyAlignment="1">
      <alignment horizontal="center"/>
    </xf>
    <xf numFmtId="0" fontId="0" fillId="0" borderId="1" xfId="0" applyNumberFormat="1" applyFill="1" applyBorder="1"/>
    <xf numFmtId="9" fontId="44" fillId="7" borderId="1" xfId="3" applyNumberFormat="1" applyFont="1" applyFill="1" applyBorder="1" applyAlignment="1">
      <alignment horizontal="right" vertical="center" wrapText="1"/>
    </xf>
    <xf numFmtId="0" fontId="0" fillId="0" borderId="0" xfId="0" applyFill="1" applyAlignment="1">
      <alignment vertical="center" wrapText="1"/>
    </xf>
    <xf numFmtId="0" fontId="2" fillId="11" borderId="1" xfId="0" applyFont="1" applyFill="1" applyBorder="1" applyAlignment="1">
      <alignment vertical="center" wrapText="1"/>
    </xf>
    <xf numFmtId="0" fontId="66" fillId="0" borderId="1" xfId="0" applyFont="1" applyBorder="1" applyAlignment="1">
      <alignment vertical="center" wrapText="1"/>
    </xf>
    <xf numFmtId="0" fontId="2" fillId="11" borderId="2" xfId="0" applyFont="1" applyFill="1" applyBorder="1" applyAlignment="1">
      <alignment vertical="center" wrapText="1"/>
    </xf>
    <xf numFmtId="0" fontId="0" fillId="0" borderId="1" xfId="0" applyBorder="1" applyAlignment="1">
      <alignment horizontal="center" vertical="center" wrapText="1"/>
    </xf>
    <xf numFmtId="9" fontId="44" fillId="0" borderId="1" xfId="3" applyNumberFormat="1" applyFont="1" applyFill="1" applyBorder="1" applyAlignment="1">
      <alignment horizontal="right" vertical="center" wrapText="1"/>
    </xf>
    <xf numFmtId="0" fontId="26" fillId="0" borderId="0" xfId="0" applyFont="1" applyAlignment="1">
      <alignment horizontal="center"/>
    </xf>
    <xf numFmtId="0" fontId="15" fillId="0" borderId="0" xfId="6" applyFont="1" applyFill="1" applyBorder="1" applyAlignment="1">
      <alignment horizontal="center"/>
    </xf>
    <xf numFmtId="0" fontId="18" fillId="0" borderId="1" xfId="0" applyFont="1" applyBorder="1"/>
    <xf numFmtId="0" fontId="17" fillId="0" borderId="1" xfId="0" applyFont="1" applyFill="1" applyBorder="1"/>
    <xf numFmtId="9" fontId="17" fillId="0" borderId="0" xfId="0" applyNumberFormat="1" applyFont="1" applyFill="1" applyBorder="1"/>
    <xf numFmtId="0" fontId="68" fillId="0" borderId="1" xfId="0" applyFont="1" applyBorder="1"/>
    <xf numFmtId="168" fontId="14" fillId="0" borderId="1" xfId="3" applyNumberFormat="1" applyFont="1" applyFill="1" applyBorder="1"/>
    <xf numFmtId="164" fontId="0" fillId="0" borderId="0" xfId="0" applyNumberFormat="1"/>
    <xf numFmtId="0" fontId="14" fillId="0" borderId="0" xfId="0" applyFont="1" applyBorder="1"/>
    <xf numFmtId="178" fontId="27" fillId="6" borderId="1" xfId="2" applyNumberFormat="1" applyFont="1" applyFill="1" applyBorder="1"/>
    <xf numFmtId="164" fontId="27" fillId="6" borderId="1" xfId="2" applyNumberFormat="1" applyFont="1" applyFill="1" applyBorder="1"/>
    <xf numFmtId="170" fontId="0" fillId="0" borderId="0" xfId="2" applyNumberFormat="1" applyFont="1"/>
    <xf numFmtId="10" fontId="6" fillId="0" borderId="1" xfId="0" applyNumberFormat="1" applyFont="1" applyBorder="1"/>
    <xf numFmtId="0" fontId="41" fillId="0" borderId="1" xfId="0" applyFont="1" applyFill="1" applyBorder="1" applyAlignment="1">
      <alignment horizontal="center" vertical="center" wrapText="1"/>
    </xf>
    <xf numFmtId="168" fontId="41" fillId="0" borderId="1" xfId="3" applyNumberFormat="1" applyFont="1" applyFill="1" applyBorder="1" applyAlignment="1">
      <alignment horizontal="right" vertical="center" wrapText="1"/>
    </xf>
    <xf numFmtId="0" fontId="42" fillId="0" borderId="1" xfId="0" applyFont="1" applyFill="1" applyBorder="1" applyAlignment="1">
      <alignment horizontal="center" vertical="center" wrapText="1"/>
    </xf>
    <xf numFmtId="0" fontId="29" fillId="0" borderId="1" xfId="0" applyFont="1" applyFill="1" applyBorder="1" applyAlignment="1">
      <alignment vertical="center" wrapText="1"/>
    </xf>
    <xf numFmtId="0" fontId="27" fillId="0" borderId="1" xfId="0" applyFont="1" applyFill="1" applyBorder="1" applyAlignment="1">
      <alignment vertical="center" wrapText="1"/>
    </xf>
    <xf numFmtId="170" fontId="29" fillId="0" borderId="1" xfId="2" applyNumberFormat="1" applyFont="1" applyFill="1" applyBorder="1" applyAlignment="1">
      <alignment horizontal="left" vertical="center" wrapText="1"/>
    </xf>
    <xf numFmtId="170" fontId="29" fillId="0" borderId="1" xfId="2" applyNumberFormat="1" applyFont="1" applyFill="1" applyBorder="1" applyAlignment="1">
      <alignment vertical="center" wrapText="1"/>
    </xf>
    <xf numFmtId="170" fontId="29" fillId="0" borderId="1" xfId="2" applyNumberFormat="1" applyFont="1" applyFill="1" applyBorder="1" applyAlignment="1">
      <alignment horizontal="right" vertical="center" wrapText="1"/>
    </xf>
    <xf numFmtId="0" fontId="12" fillId="0" borderId="1" xfId="0" applyFont="1" applyFill="1" applyBorder="1" applyAlignment="1">
      <alignment horizontal="center" vertical="center" wrapText="1"/>
    </xf>
    <xf numFmtId="168" fontId="12" fillId="0" borderId="1" xfId="3" applyNumberFormat="1" applyFont="1" applyFill="1" applyBorder="1" applyAlignment="1">
      <alignment horizontal="center" vertical="center" wrapText="1"/>
    </xf>
    <xf numFmtId="168" fontId="12" fillId="0" borderId="1" xfId="3" applyNumberFormat="1" applyFont="1" applyFill="1" applyBorder="1" applyAlignment="1">
      <alignment horizontal="right" vertical="center" wrapText="1"/>
    </xf>
    <xf numFmtId="0" fontId="12" fillId="0" borderId="1" xfId="0" applyFont="1" applyFill="1" applyBorder="1" applyAlignment="1">
      <alignment vertical="center" wrapText="1"/>
    </xf>
    <xf numFmtId="168" fontId="13" fillId="0" borderId="1" xfId="3" applyNumberFormat="1" applyFont="1" applyFill="1" applyBorder="1" applyAlignment="1">
      <alignment horizontal="right" vertical="center" wrapText="1"/>
    </xf>
    <xf numFmtId="168" fontId="41" fillId="0" borderId="1" xfId="3" applyNumberFormat="1" applyFont="1" applyFill="1" applyBorder="1" applyAlignment="1">
      <alignment horizontal="center" vertical="center" wrapText="1"/>
    </xf>
    <xf numFmtId="0" fontId="41" fillId="4" borderId="9" xfId="0" applyFont="1" applyFill="1" applyBorder="1" applyAlignment="1">
      <alignment horizontal="right" vertical="center" wrapText="1"/>
    </xf>
    <xf numFmtId="0" fontId="12" fillId="4" borderId="1" xfId="0" applyFont="1" applyFill="1" applyBorder="1" applyAlignment="1">
      <alignment vertical="center" wrapText="1"/>
    </xf>
    <xf numFmtId="168" fontId="41" fillId="4" borderId="10" xfId="3" applyNumberFormat="1" applyFont="1" applyFill="1" applyBorder="1" applyAlignment="1">
      <alignment horizontal="right" vertical="center" wrapText="1"/>
    </xf>
    <xf numFmtId="0" fontId="41" fillId="4" borderId="10" xfId="0" applyFont="1" applyFill="1" applyBorder="1" applyAlignment="1">
      <alignment vertical="center" wrapText="1"/>
    </xf>
    <xf numFmtId="168" fontId="42" fillId="4" borderId="10" xfId="3" applyNumberFormat="1" applyFont="1" applyFill="1" applyBorder="1" applyAlignment="1">
      <alignment horizontal="right" vertical="center" wrapText="1"/>
    </xf>
    <xf numFmtId="0" fontId="11" fillId="12" borderId="1" xfId="0" applyFont="1" applyFill="1" applyBorder="1" applyAlignment="1">
      <alignment vertical="center" wrapText="1"/>
    </xf>
    <xf numFmtId="0" fontId="11" fillId="12" borderId="1" xfId="0" applyFont="1" applyFill="1" applyBorder="1" applyAlignment="1">
      <alignment horizontal="center" vertical="center" wrapText="1"/>
    </xf>
    <xf numFmtId="0" fontId="27" fillId="4" borderId="1" xfId="0" applyFont="1" applyFill="1" applyBorder="1"/>
    <xf numFmtId="170" fontId="27" fillId="4" borderId="1" xfId="2" applyNumberFormat="1" applyFont="1" applyFill="1" applyBorder="1"/>
    <xf numFmtId="9" fontId="27" fillId="4" borderId="1" xfId="0" applyNumberFormat="1" applyFont="1" applyFill="1" applyBorder="1"/>
    <xf numFmtId="0" fontId="42" fillId="4" borderId="1" xfId="0" applyFont="1" applyFill="1" applyBorder="1" applyAlignment="1">
      <alignment horizontal="center" vertical="center" wrapText="1"/>
    </xf>
    <xf numFmtId="0" fontId="42" fillId="4" borderId="16" xfId="0" applyFont="1" applyFill="1" applyBorder="1" applyAlignment="1">
      <alignment horizontal="center" vertical="center" wrapText="1"/>
    </xf>
    <xf numFmtId="9" fontId="42" fillId="4" borderId="1" xfId="0" applyNumberFormat="1" applyFont="1" applyFill="1" applyBorder="1" applyAlignment="1">
      <alignment horizontal="center" vertical="center" wrapText="1"/>
    </xf>
    <xf numFmtId="0" fontId="0" fillId="4" borderId="1" xfId="0" applyFill="1" applyBorder="1"/>
    <xf numFmtId="0" fontId="2" fillId="4" borderId="1" xfId="0" applyFont="1" applyFill="1" applyBorder="1"/>
    <xf numFmtId="9" fontId="0" fillId="4" borderId="1" xfId="1" applyFont="1" applyFill="1" applyBorder="1"/>
    <xf numFmtId="9" fontId="0" fillId="4" borderId="1" xfId="0" applyNumberFormat="1" applyFill="1" applyBorder="1"/>
    <xf numFmtId="0" fontId="0" fillId="4" borderId="1" xfId="1" applyNumberFormat="1" applyFont="1" applyFill="1" applyBorder="1"/>
    <xf numFmtId="9" fontId="54" fillId="13" borderId="1" xfId="0" applyNumberFormat="1" applyFont="1" applyFill="1" applyBorder="1"/>
    <xf numFmtId="9" fontId="54" fillId="13" borderId="1" xfId="0" applyNumberFormat="1" applyFont="1" applyFill="1" applyBorder="1" applyAlignment="1">
      <alignment horizontal="center"/>
    </xf>
    <xf numFmtId="9" fontId="58" fillId="13" borderId="1" xfId="0" applyNumberFormat="1" applyFont="1" applyFill="1" applyBorder="1"/>
    <xf numFmtId="171" fontId="58" fillId="13" borderId="1" xfId="0" applyNumberFormat="1" applyFont="1" applyFill="1" applyBorder="1"/>
    <xf numFmtId="0" fontId="27" fillId="4" borderId="0" xfId="0" applyFont="1" applyFill="1"/>
    <xf numFmtId="0" fontId="28" fillId="4" borderId="1" xfId="0" applyFont="1" applyFill="1" applyBorder="1"/>
    <xf numFmtId="9" fontId="28" fillId="4" borderId="1" xfId="1" applyFont="1" applyFill="1" applyBorder="1"/>
    <xf numFmtId="168" fontId="28" fillId="4" borderId="1" xfId="3" applyNumberFormat="1" applyFont="1" applyFill="1" applyBorder="1"/>
    <xf numFmtId="170" fontId="28" fillId="4" borderId="1" xfId="2" applyNumberFormat="1" applyFont="1" applyFill="1" applyBorder="1"/>
    <xf numFmtId="172" fontId="28" fillId="4" borderId="1" xfId="0" applyNumberFormat="1" applyFont="1" applyFill="1" applyBorder="1"/>
    <xf numFmtId="168" fontId="27" fillId="4" borderId="1" xfId="0" applyNumberFormat="1" applyFont="1" applyFill="1" applyBorder="1"/>
    <xf numFmtId="170" fontId="27" fillId="4" borderId="1" xfId="0" applyNumberFormat="1" applyFont="1" applyFill="1" applyBorder="1"/>
    <xf numFmtId="0" fontId="27" fillId="4" borderId="1" xfId="0" applyFont="1" applyFill="1" applyBorder="1" applyAlignment="1">
      <alignment wrapText="1"/>
    </xf>
    <xf numFmtId="0" fontId="28" fillId="4" borderId="1" xfId="0" applyFont="1" applyFill="1" applyBorder="1" applyAlignment="1">
      <alignment wrapText="1"/>
    </xf>
    <xf numFmtId="166" fontId="27" fillId="4" borderId="0" xfId="0" applyNumberFormat="1" applyFont="1" applyFill="1" applyBorder="1"/>
    <xf numFmtId="0" fontId="42" fillId="0" borderId="1" xfId="0" applyFont="1" applyFill="1" applyBorder="1" applyAlignment="1">
      <alignment horizontal="center" vertical="center" wrapText="1"/>
    </xf>
    <xf numFmtId="0" fontId="0" fillId="0" borderId="0" xfId="0" applyAlignment="1">
      <alignment horizontal="left"/>
    </xf>
    <xf numFmtId="0" fontId="30" fillId="0" borderId="1" xfId="0" applyFont="1" applyFill="1" applyBorder="1" applyAlignment="1">
      <alignment vertical="center" wrapText="1"/>
    </xf>
    <xf numFmtId="0" fontId="28" fillId="4" borderId="0" xfId="0" applyFont="1" applyFill="1"/>
    <xf numFmtId="179" fontId="0" fillId="0" borderId="0" xfId="0" applyNumberFormat="1"/>
    <xf numFmtId="177" fontId="0" fillId="0" borderId="0" xfId="0" applyNumberFormat="1"/>
    <xf numFmtId="1" fontId="0" fillId="0" borderId="0" xfId="0" applyNumberFormat="1"/>
    <xf numFmtId="1" fontId="0" fillId="0" borderId="0" xfId="0" applyNumberFormat="1" applyFill="1"/>
    <xf numFmtId="170" fontId="0" fillId="0" borderId="1" xfId="0" applyNumberFormat="1" applyBorder="1"/>
    <xf numFmtId="43" fontId="0" fillId="0" borderId="1" xfId="0" applyNumberFormat="1" applyBorder="1"/>
    <xf numFmtId="0" fontId="42" fillId="0" borderId="2" xfId="0" applyFont="1" applyFill="1" applyBorder="1" applyAlignment="1">
      <alignment vertical="center" wrapText="1"/>
    </xf>
    <xf numFmtId="9" fontId="2" fillId="0" borderId="0" xfId="0" applyNumberFormat="1" applyFont="1" applyAlignment="1">
      <alignment horizontal="center"/>
    </xf>
    <xf numFmtId="10" fontId="44" fillId="0" borderId="1" xfId="3" applyNumberFormat="1" applyFont="1" applyFill="1" applyBorder="1" applyAlignment="1">
      <alignment horizontal="right" vertical="center" wrapText="1"/>
    </xf>
    <xf numFmtId="3" fontId="17" fillId="0" borderId="0" xfId="0" applyNumberFormat="1" applyFont="1" applyFill="1" applyBorder="1" applyAlignment="1">
      <alignment vertical="center"/>
    </xf>
    <xf numFmtId="3" fontId="14" fillId="0" borderId="0" xfId="0" applyNumberFormat="1" applyFont="1" applyBorder="1" applyAlignment="1">
      <alignment vertical="center"/>
    </xf>
    <xf numFmtId="0" fontId="44" fillId="0" borderId="0" xfId="0" applyFont="1" applyFill="1" applyBorder="1" applyAlignment="1">
      <alignment vertical="center"/>
    </xf>
    <xf numFmtId="0" fontId="9" fillId="0" borderId="0" xfId="0" applyFont="1" applyAlignment="1">
      <alignment horizontal="left" vertical="center" wrapText="1"/>
    </xf>
    <xf numFmtId="0" fontId="67" fillId="0" borderId="13" xfId="0" applyFont="1" applyBorder="1" applyAlignment="1">
      <alignment horizontal="center" vertical="center" wrapText="1"/>
    </xf>
    <xf numFmtId="0" fontId="63" fillId="8" borderId="1" xfId="0" applyFont="1" applyFill="1" applyBorder="1" applyAlignment="1">
      <alignment horizontal="center" vertical="center" wrapText="1"/>
    </xf>
    <xf numFmtId="0" fontId="61" fillId="10" borderId="1" xfId="0" applyFont="1" applyFill="1" applyBorder="1" applyAlignment="1">
      <alignment horizontal="left" vertical="center" wrapText="1"/>
    </xf>
    <xf numFmtId="0" fontId="0" fillId="0" borderId="1" xfId="0" applyBorder="1" applyAlignment="1">
      <alignment horizontal="left" vertical="center" wrapText="1"/>
    </xf>
    <xf numFmtId="0" fontId="2" fillId="0" borderId="1" xfId="0" applyFont="1" applyBorder="1" applyAlignment="1">
      <alignment horizontal="left" vertical="center" wrapText="1"/>
    </xf>
    <xf numFmtId="0" fontId="0" fillId="0" borderId="21" xfId="0" applyFill="1" applyBorder="1" applyAlignment="1">
      <alignment horizontal="center" vertical="center" wrapText="1"/>
    </xf>
    <xf numFmtId="0" fontId="0" fillId="0" borderId="16" xfId="0" applyFill="1" applyBorder="1" applyAlignment="1">
      <alignment horizontal="center" vertical="center" wrapText="1"/>
    </xf>
    <xf numFmtId="0" fontId="0" fillId="0" borderId="20" xfId="0" applyBorder="1" applyAlignment="1">
      <alignment horizontal="left" vertical="center" wrapText="1"/>
    </xf>
    <xf numFmtId="0" fontId="0" fillId="0" borderId="2" xfId="0" applyBorder="1" applyAlignment="1">
      <alignment horizontal="left" vertical="center" wrapText="1"/>
    </xf>
    <xf numFmtId="0" fontId="0" fillId="0" borderId="14" xfId="0" applyBorder="1" applyAlignment="1">
      <alignment horizontal="left" vertical="center" wrapText="1"/>
    </xf>
    <xf numFmtId="0" fontId="0" fillId="0" borderId="15" xfId="0" applyBorder="1" applyAlignment="1">
      <alignment horizontal="left" vertical="center" wrapText="1"/>
    </xf>
    <xf numFmtId="0" fontId="0" fillId="0" borderId="21" xfId="0" applyBorder="1" applyAlignment="1">
      <alignment horizontal="left" vertical="center" wrapText="1"/>
    </xf>
    <xf numFmtId="0" fontId="0" fillId="0" borderId="16" xfId="0" applyBorder="1" applyAlignment="1">
      <alignment horizontal="left" vertical="center" wrapText="1"/>
    </xf>
    <xf numFmtId="0" fontId="61" fillId="9" borderId="1" xfId="0" applyFont="1" applyFill="1" applyBorder="1" applyAlignment="1">
      <alignment horizontal="left" vertical="center" wrapText="1"/>
    </xf>
    <xf numFmtId="0" fontId="2" fillId="0" borderId="15" xfId="0" applyFont="1" applyBorder="1" applyAlignment="1">
      <alignment horizontal="left" vertical="center" wrapText="1"/>
    </xf>
    <xf numFmtId="0" fontId="2" fillId="0" borderId="21" xfId="0" applyFont="1" applyBorder="1" applyAlignment="1">
      <alignment horizontal="left" vertical="center" wrapText="1"/>
    </xf>
    <xf numFmtId="0" fontId="2" fillId="0" borderId="16" xfId="0" applyFont="1" applyBorder="1" applyAlignment="1">
      <alignment horizontal="left" vertical="center" wrapText="1"/>
    </xf>
    <xf numFmtId="0" fontId="43" fillId="5" borderId="12" xfId="0" applyFont="1" applyFill="1" applyBorder="1" applyAlignment="1">
      <alignment horizontal="center" vertical="center" wrapText="1"/>
    </xf>
    <xf numFmtId="0" fontId="43" fillId="5" borderId="13" xfId="0" applyFont="1" applyFill="1" applyBorder="1" applyAlignment="1">
      <alignment horizontal="center" vertical="center" wrapText="1"/>
    </xf>
    <xf numFmtId="0" fontId="26" fillId="0" borderId="0" xfId="0" applyFont="1" applyBorder="1" applyAlignment="1">
      <alignment horizontal="center"/>
    </xf>
    <xf numFmtId="0" fontId="59" fillId="0" borderId="1" xfId="0" applyFont="1" applyBorder="1" applyAlignment="1">
      <alignment horizontal="center" vertical="center" wrapText="1"/>
    </xf>
    <xf numFmtId="0" fontId="26" fillId="0" borderId="0" xfId="0" applyFont="1" applyAlignment="1">
      <alignment horizontal="center"/>
    </xf>
    <xf numFmtId="0" fontId="2" fillId="0" borderId="0" xfId="0" applyFont="1" applyAlignment="1">
      <alignment horizontal="center"/>
    </xf>
    <xf numFmtId="0" fontId="51" fillId="0" borderId="0" xfId="0" applyFont="1" applyAlignment="1">
      <alignment horizontal="center" wrapText="1"/>
    </xf>
    <xf numFmtId="0" fontId="28" fillId="0" borderId="1" xfId="0" applyFont="1" applyBorder="1" applyAlignment="1">
      <alignment horizontal="center" vertical="center" wrapText="1"/>
    </xf>
    <xf numFmtId="0" fontId="42" fillId="0" borderId="1" xfId="0" applyFont="1" applyBorder="1" applyAlignment="1">
      <alignment horizontal="center" vertical="center" wrapText="1"/>
    </xf>
    <xf numFmtId="0" fontId="42" fillId="0" borderId="1" xfId="0" applyFont="1" applyFill="1" applyBorder="1" applyAlignment="1">
      <alignment horizontal="center" vertical="center" wrapText="1"/>
    </xf>
    <xf numFmtId="0" fontId="42" fillId="4" borderId="3" xfId="0" applyFont="1" applyFill="1" applyBorder="1" applyAlignment="1">
      <alignment horizontal="center" vertical="center" wrapText="1"/>
    </xf>
    <xf numFmtId="0" fontId="42" fillId="4" borderId="4" xfId="0" applyFont="1" applyFill="1" applyBorder="1" applyAlignment="1">
      <alignment horizontal="center" vertical="center" wrapText="1"/>
    </xf>
    <xf numFmtId="0" fontId="53" fillId="0" borderId="0" xfId="0" applyFont="1" applyAlignment="1">
      <alignment horizontal="center" wrapText="1"/>
    </xf>
    <xf numFmtId="0" fontId="2" fillId="0" borderId="0" xfId="0" applyFont="1" applyFill="1" applyAlignment="1">
      <alignment horizontal="center"/>
    </xf>
    <xf numFmtId="0" fontId="13" fillId="0" borderId="1" xfId="0" applyFont="1" applyFill="1" applyBorder="1" applyAlignment="1">
      <alignment horizontal="center" vertical="center" wrapText="1"/>
    </xf>
    <xf numFmtId="0" fontId="13" fillId="0" borderId="1" xfId="0" applyFont="1" applyBorder="1" applyAlignment="1">
      <alignment horizontal="center" vertical="center" wrapText="1"/>
    </xf>
    <xf numFmtId="0" fontId="37" fillId="0" borderId="0" xfId="6" applyFont="1" applyFill="1" applyBorder="1" applyAlignment="1">
      <alignment horizontal="center"/>
    </xf>
    <xf numFmtId="0" fontId="14" fillId="0" borderId="0" xfId="0" applyFont="1" applyAlignment="1">
      <alignment horizontal="center" vertical="center" wrapText="1"/>
    </xf>
    <xf numFmtId="0" fontId="15" fillId="0" borderId="0" xfId="6" applyFont="1" applyFill="1" applyBorder="1" applyAlignment="1">
      <alignment horizontal="center"/>
    </xf>
    <xf numFmtId="0" fontId="28" fillId="0" borderId="13" xfId="0" applyFont="1" applyBorder="1" applyAlignment="1">
      <alignment horizontal="left"/>
    </xf>
    <xf numFmtId="0" fontId="2" fillId="0" borderId="13" xfId="0" applyFont="1" applyBorder="1" applyAlignment="1">
      <alignment horizontal="center"/>
    </xf>
    <xf numFmtId="0" fontId="37" fillId="0" borderId="0" xfId="6" applyFont="1" applyFill="1" applyBorder="1" applyAlignment="1">
      <alignment horizontal="left"/>
    </xf>
    <xf numFmtId="0" fontId="26" fillId="0" borderId="19" xfId="0" applyFont="1" applyBorder="1" applyAlignment="1">
      <alignment horizontal="center"/>
    </xf>
    <xf numFmtId="0" fontId="2" fillId="0" borderId="0" xfId="0" applyFont="1" applyAlignment="1">
      <alignment horizontal="center" wrapText="1"/>
    </xf>
    <xf numFmtId="0" fontId="50" fillId="0" borderId="0" xfId="0" applyFont="1" applyAlignment="1">
      <alignment horizontal="center" wrapText="1"/>
    </xf>
    <xf numFmtId="0" fontId="49" fillId="0" borderId="0" xfId="0" applyFont="1" applyAlignment="1">
      <alignment horizontal="center" wrapText="1"/>
    </xf>
    <xf numFmtId="0" fontId="40" fillId="2" borderId="1" xfId="0" applyFont="1" applyFill="1" applyBorder="1" applyAlignment="1">
      <alignment horizontal="center" vertical="center" wrapText="1"/>
    </xf>
    <xf numFmtId="0" fontId="42" fillId="0" borderId="15" xfId="0" applyFont="1" applyFill="1" applyBorder="1" applyAlignment="1">
      <alignment horizontal="center" vertical="center" wrapText="1"/>
    </xf>
    <xf numFmtId="0" fontId="42" fillId="0" borderId="16" xfId="0" applyFont="1" applyFill="1" applyBorder="1" applyAlignment="1">
      <alignment horizontal="center" vertical="center" wrapText="1"/>
    </xf>
    <xf numFmtId="0" fontId="40" fillId="2" borderId="2" xfId="0" applyFont="1" applyFill="1" applyBorder="1" applyAlignment="1">
      <alignment horizontal="center" vertical="center" wrapText="1"/>
    </xf>
    <xf numFmtId="0" fontId="40" fillId="2" borderId="14" xfId="0" applyFont="1" applyFill="1" applyBorder="1" applyAlignment="1">
      <alignment horizontal="center" vertical="center" wrapText="1"/>
    </xf>
    <xf numFmtId="0" fontId="40" fillId="2" borderId="12" xfId="0" applyFont="1" applyFill="1" applyBorder="1" applyAlignment="1">
      <alignment horizontal="center" vertical="center" wrapText="1"/>
    </xf>
    <xf numFmtId="0" fontId="40" fillId="2" borderId="13" xfId="0" applyFont="1" applyFill="1" applyBorder="1" applyAlignment="1">
      <alignment horizontal="center" vertical="center" wrapText="1"/>
    </xf>
    <xf numFmtId="0" fontId="30" fillId="6" borderId="13" xfId="0" applyFont="1" applyFill="1" applyBorder="1" applyAlignment="1">
      <alignment horizontal="center"/>
    </xf>
    <xf numFmtId="0" fontId="30" fillId="6" borderId="0" xfId="0" applyFont="1" applyFill="1" applyAlignment="1">
      <alignment horizontal="center"/>
    </xf>
    <xf numFmtId="0" fontId="46" fillId="0" borderId="0" xfId="0" applyFont="1" applyAlignment="1">
      <alignment horizontal="center" wrapText="1"/>
    </xf>
    <xf numFmtId="0" fontId="26" fillId="0" borderId="17" xfId="0" applyFont="1" applyBorder="1" applyAlignment="1">
      <alignment horizontal="center"/>
    </xf>
    <xf numFmtId="0" fontId="48" fillId="0" borderId="0" xfId="0" applyFont="1" applyAlignment="1">
      <alignment horizontal="center" wrapText="1"/>
    </xf>
    <xf numFmtId="0" fontId="47" fillId="0" borderId="0" xfId="0" applyFont="1" applyAlignment="1">
      <alignment horizontal="center" wrapText="1"/>
    </xf>
    <xf numFmtId="0" fontId="6" fillId="0" borderId="1" xfId="0" applyFont="1" applyFill="1" applyBorder="1" applyAlignment="1">
      <alignment horizontal="center" wrapText="1"/>
    </xf>
    <xf numFmtId="0" fontId="13" fillId="0" borderId="0" xfId="0" applyFont="1" applyAlignment="1">
      <alignment horizontal="center" wrapText="1"/>
    </xf>
    <xf numFmtId="0" fontId="25" fillId="0" borderId="0" xfId="0" applyFont="1" applyAlignment="1">
      <alignment horizontal="center"/>
    </xf>
    <xf numFmtId="0" fontId="56" fillId="0" borderId="0" xfId="8" applyFont="1" applyAlignment="1" applyProtection="1">
      <alignment horizontal="center" wrapText="1"/>
    </xf>
    <xf numFmtId="0" fontId="55" fillId="0" borderId="0" xfId="0" applyFont="1" applyAlignment="1">
      <alignment horizontal="center" wrapText="1"/>
    </xf>
    <xf numFmtId="0" fontId="57" fillId="0" borderId="0" xfId="0" applyFont="1" applyAlignment="1">
      <alignment horizontal="center" wrapText="1"/>
    </xf>
    <xf numFmtId="0" fontId="25" fillId="0" borderId="12" xfId="0" applyFont="1" applyFill="1" applyBorder="1" applyAlignment="1">
      <alignment horizontal="center"/>
    </xf>
    <xf numFmtId="0" fontId="25" fillId="0" borderId="13" xfId="0" applyFont="1" applyFill="1" applyBorder="1" applyAlignment="1">
      <alignment horizontal="center"/>
    </xf>
    <xf numFmtId="0" fontId="9" fillId="0" borderId="0" xfId="0" applyFont="1" applyAlignment="1">
      <alignment horizontal="center"/>
    </xf>
    <xf numFmtId="4" fontId="4" fillId="0" borderId="1" xfId="0" applyNumberFormat="1" applyFont="1" applyBorder="1" applyAlignment="1">
      <alignment horizontal="center"/>
    </xf>
    <xf numFmtId="4" fontId="4" fillId="0" borderId="0" xfId="0" applyNumberFormat="1" applyFont="1" applyBorder="1" applyAlignment="1">
      <alignment horizontal="center"/>
    </xf>
    <xf numFmtId="0" fontId="53" fillId="0" borderId="0" xfId="0" applyFont="1" applyAlignment="1">
      <alignment horizontal="center"/>
    </xf>
    <xf numFmtId="2" fontId="27" fillId="0" borderId="1" xfId="2" applyNumberFormat="1" applyFont="1" applyBorder="1" applyAlignment="1">
      <alignment horizontal="center"/>
    </xf>
    <xf numFmtId="10" fontId="28" fillId="0" borderId="1" xfId="1" applyNumberFormat="1" applyFont="1" applyBorder="1" applyAlignment="1">
      <alignment horizontal="center"/>
    </xf>
    <xf numFmtId="0" fontId="26" fillId="0" borderId="13" xfId="0" applyFont="1" applyBorder="1" applyAlignment="1">
      <alignment horizontal="center"/>
    </xf>
    <xf numFmtId="0" fontId="58" fillId="5" borderId="20" xfId="0" applyFont="1" applyFill="1" applyBorder="1" applyAlignment="1">
      <alignment horizontal="left" vertical="center"/>
    </xf>
    <xf numFmtId="0" fontId="58" fillId="5" borderId="14" xfId="0" applyFont="1" applyFill="1" applyBorder="1" applyAlignment="1">
      <alignment horizontal="left" vertical="center"/>
    </xf>
    <xf numFmtId="0" fontId="0" fillId="0" borderId="0" xfId="0" applyAlignment="1">
      <alignment horizontal="center"/>
    </xf>
    <xf numFmtId="0" fontId="0" fillId="0" borderId="20" xfId="0" applyBorder="1" applyAlignment="1">
      <alignment horizontal="center" vertical="center"/>
    </xf>
    <xf numFmtId="0" fontId="0" fillId="0" borderId="2" xfId="0" applyBorder="1" applyAlignment="1">
      <alignment horizontal="center" vertical="center"/>
    </xf>
    <xf numFmtId="0" fontId="0" fillId="0" borderId="14" xfId="0" applyBorder="1" applyAlignment="1">
      <alignment horizontal="center" vertical="center"/>
    </xf>
    <xf numFmtId="0" fontId="26" fillId="0" borderId="15" xfId="0" applyFont="1" applyBorder="1" applyAlignment="1">
      <alignment horizontal="center"/>
    </xf>
    <xf numFmtId="0" fontId="26" fillId="0" borderId="21" xfId="0" applyFont="1" applyBorder="1" applyAlignment="1">
      <alignment horizontal="center"/>
    </xf>
    <xf numFmtId="0" fontId="26" fillId="0" borderId="16" xfId="0" applyFont="1" applyBorder="1" applyAlignment="1">
      <alignment horizontal="center"/>
    </xf>
    <xf numFmtId="0" fontId="54" fillId="5" borderId="20" xfId="0" applyFont="1" applyFill="1" applyBorder="1" applyAlignment="1">
      <alignment vertical="center"/>
    </xf>
    <xf numFmtId="0" fontId="54" fillId="5" borderId="14" xfId="0" applyFont="1" applyFill="1" applyBorder="1" applyAlignment="1">
      <alignment vertical="center"/>
    </xf>
    <xf numFmtId="0" fontId="37" fillId="0" borderId="15" xfId="0" applyFont="1" applyFill="1" applyBorder="1" applyAlignment="1">
      <alignment horizontal="center"/>
    </xf>
    <xf numFmtId="0" fontId="37" fillId="0" borderId="21" xfId="0" applyFont="1" applyFill="1" applyBorder="1" applyAlignment="1">
      <alignment horizontal="center"/>
    </xf>
    <xf numFmtId="0" fontId="37" fillId="0" borderId="16" xfId="0" applyFont="1" applyFill="1" applyBorder="1" applyAlignment="1">
      <alignment horizontal="center"/>
    </xf>
    <xf numFmtId="0" fontId="54" fillId="5" borderId="20" xfId="0" applyFont="1" applyFill="1" applyBorder="1" applyAlignment="1">
      <alignment horizontal="left" vertical="center"/>
    </xf>
    <xf numFmtId="0" fontId="54" fillId="5" borderId="14" xfId="0" applyFont="1" applyFill="1" applyBorder="1" applyAlignment="1">
      <alignment horizontal="left" vertical="center"/>
    </xf>
    <xf numFmtId="0" fontId="15" fillId="0" borderId="15" xfId="0" applyFont="1" applyFill="1" applyBorder="1" applyAlignment="1">
      <alignment horizontal="center"/>
    </xf>
    <xf numFmtId="0" fontId="15" fillId="0" borderId="21" xfId="0" applyFont="1" applyFill="1" applyBorder="1" applyAlignment="1">
      <alignment horizontal="center"/>
    </xf>
    <xf numFmtId="0" fontId="15" fillId="0" borderId="16" xfId="0" applyFont="1" applyFill="1" applyBorder="1" applyAlignment="1">
      <alignment horizontal="center"/>
    </xf>
    <xf numFmtId="0" fontId="2" fillId="0" borderId="1" xfId="0" applyFont="1" applyBorder="1" applyAlignment="1">
      <alignment horizontal="center" vertical="center" wrapText="1"/>
    </xf>
    <xf numFmtId="0" fontId="26" fillId="0" borderId="0" xfId="0" applyFont="1" applyFill="1" applyBorder="1" applyAlignment="1">
      <alignment horizontal="center"/>
    </xf>
  </cellXfs>
  <cellStyles count="11">
    <cellStyle name="Comma" xfId="2" builtinId="3"/>
    <cellStyle name="Comma 2" xfId="3" xr:uid="{00000000-0005-0000-0000-000001000000}"/>
    <cellStyle name="Comma 2 2" xfId="10" xr:uid="{00000000-0005-0000-0000-000002000000}"/>
    <cellStyle name="Comma 3" xfId="4" xr:uid="{00000000-0005-0000-0000-000003000000}"/>
    <cellStyle name="Currency 2" xfId="5" xr:uid="{00000000-0005-0000-0000-000004000000}"/>
    <cellStyle name="Currency 3" xfId="9" xr:uid="{00000000-0005-0000-0000-000005000000}"/>
    <cellStyle name="Hyperlink" xfId="8" builtinId="8"/>
    <cellStyle name="Normal" xfId="0" builtinId="0"/>
    <cellStyle name="Normal 3" xfId="6" xr:uid="{00000000-0005-0000-0000-000008000000}"/>
    <cellStyle name="Percent" xfId="1" builtinId="5"/>
    <cellStyle name="Percent 2" xfId="7" xr:uid="{00000000-0005-0000-0000-00000A000000}"/>
  </cellStyles>
  <dxfs count="4">
    <dxf>
      <font>
        <color rgb="FFFF0000"/>
      </font>
    </dxf>
    <dxf>
      <font>
        <color rgb="FFFF0000"/>
      </font>
    </dxf>
    <dxf>
      <font>
        <color rgb="FFFF0000"/>
      </font>
    </dxf>
    <dxf>
      <font>
        <color rgb="FF9C0006"/>
      </font>
      <fill>
        <patternFill>
          <bgColor rgb="FFFFC7CE"/>
        </patternFill>
      </fill>
    </dxf>
  </dxfs>
  <tableStyles count="0" defaultTableStyle="TableStyleMedium9" defaultPivotStyle="PivotStyleLight16"/>
  <colors>
    <mruColors>
      <color rgb="FF33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 /><Relationship Id="rId13" Type="http://schemas.openxmlformats.org/officeDocument/2006/relationships/worksheet" Target="worksheets/sheet13.xml" /><Relationship Id="rId18" Type="http://schemas.openxmlformats.org/officeDocument/2006/relationships/worksheet" Target="worksheets/sheet18.xml" /><Relationship Id="rId26" Type="http://schemas.openxmlformats.org/officeDocument/2006/relationships/calcChain" Target="calcChain.xml" /><Relationship Id="rId3" Type="http://schemas.openxmlformats.org/officeDocument/2006/relationships/worksheet" Target="worksheets/sheet3.xml" /><Relationship Id="rId21" Type="http://schemas.openxmlformats.org/officeDocument/2006/relationships/externalLink" Target="externalLinks/externalLink1.xml" /><Relationship Id="rId7" Type="http://schemas.openxmlformats.org/officeDocument/2006/relationships/worksheet" Target="worksheets/sheet7.xml" /><Relationship Id="rId12" Type="http://schemas.openxmlformats.org/officeDocument/2006/relationships/worksheet" Target="worksheets/sheet12.xml" /><Relationship Id="rId17" Type="http://schemas.openxmlformats.org/officeDocument/2006/relationships/worksheet" Target="worksheets/sheet17.xml" /><Relationship Id="rId25" Type="http://schemas.openxmlformats.org/officeDocument/2006/relationships/sharedStrings" Target="sharedStrings.xml" /><Relationship Id="rId2" Type="http://schemas.openxmlformats.org/officeDocument/2006/relationships/worksheet" Target="worksheets/sheet2.xml" /><Relationship Id="rId16" Type="http://schemas.openxmlformats.org/officeDocument/2006/relationships/worksheet" Target="worksheets/sheet16.xml" /><Relationship Id="rId20" Type="http://schemas.openxmlformats.org/officeDocument/2006/relationships/worksheet" Target="worksheets/sheet20.xml" /><Relationship Id="rId1" Type="http://schemas.openxmlformats.org/officeDocument/2006/relationships/worksheet" Target="worksheets/sheet1.xml" /><Relationship Id="rId6" Type="http://schemas.openxmlformats.org/officeDocument/2006/relationships/worksheet" Target="worksheets/sheet6.xml" /><Relationship Id="rId11" Type="http://schemas.openxmlformats.org/officeDocument/2006/relationships/worksheet" Target="worksheets/sheet11.xml" /><Relationship Id="rId24" Type="http://schemas.openxmlformats.org/officeDocument/2006/relationships/styles" Target="styles.xml" /><Relationship Id="rId5" Type="http://schemas.openxmlformats.org/officeDocument/2006/relationships/worksheet" Target="worksheets/sheet5.xml" /><Relationship Id="rId15" Type="http://schemas.openxmlformats.org/officeDocument/2006/relationships/worksheet" Target="worksheets/sheet15.xml" /><Relationship Id="rId23" Type="http://schemas.openxmlformats.org/officeDocument/2006/relationships/theme" Target="theme/theme1.xml" /><Relationship Id="rId10" Type="http://schemas.openxmlformats.org/officeDocument/2006/relationships/worksheet" Target="worksheets/sheet10.xml" /><Relationship Id="rId19" Type="http://schemas.openxmlformats.org/officeDocument/2006/relationships/worksheet" Target="worksheets/sheet19.xml" /><Relationship Id="rId4" Type="http://schemas.openxmlformats.org/officeDocument/2006/relationships/worksheet" Target="worksheets/sheet4.xml" /><Relationship Id="rId9" Type="http://schemas.openxmlformats.org/officeDocument/2006/relationships/worksheet" Target="worksheets/sheet9.xml" /><Relationship Id="rId14" Type="http://schemas.openxmlformats.org/officeDocument/2006/relationships/worksheet" Target="worksheets/sheet14.xml" /><Relationship Id="rId22" Type="http://schemas.openxmlformats.org/officeDocument/2006/relationships/externalLink" Target="externalLinks/externalLink2.xml" /></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e/e/e/e/e/e/Users/Nikhil/Desktop/VISHVJEET/Chaskarji/Dharti%20FPC/Dharti%20FPC.xlsx" TargetMode="External" /></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e/e/e/e/e/e/Users/Nikhil/Desktop/VISHVJEET/Chaskarji/Water/kRUSHIYUG/Krushiyug%20FPC.xlsx" TargetMode="External" /></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Land and Building"/>
      <sheetName val="Machinery and Equipment"/>
      <sheetName val="Total Cost of Project"/>
      <sheetName val="Means of Finance"/>
      <sheetName val="Working Capital"/>
      <sheetName val="Operational Expenses"/>
      <sheetName val="Revenue Schedule"/>
      <sheetName val="Depreciation"/>
      <sheetName val="Term Loan"/>
      <sheetName val="Tax"/>
      <sheetName val="P&amp;L"/>
      <sheetName val="Cash Flow"/>
      <sheetName val="Balance Sheet"/>
      <sheetName val="Financial Indicators"/>
      <sheetName val="Output"/>
    </sheetNames>
    <sheetDataSet>
      <sheetData sheetId="0"/>
      <sheetData sheetId="1"/>
      <sheetData sheetId="2"/>
      <sheetData sheetId="3">
        <row r="3">
          <cell r="C3" t="str">
            <v>Land and Building</v>
          </cell>
        </row>
        <row r="4">
          <cell r="C4" t="str">
            <v>Machinery and Equipment</v>
          </cell>
        </row>
      </sheetData>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nd and Building"/>
      <sheetName val="Machinery and Equipment"/>
      <sheetName val="P&amp;P Expenses"/>
      <sheetName val="Working Capital"/>
      <sheetName val="Total Cost of Project"/>
      <sheetName val="Means of Finance"/>
      <sheetName val="Project Glance"/>
      <sheetName val="TL repayment sch"/>
      <sheetName val="Activity  4 Dal Mill"/>
      <sheetName val="Activity 7  Neem Oil and Pwder"/>
      <sheetName val="Activity 3"/>
      <sheetName val="Activity 3 C &amp; G"/>
      <sheetName val="Activity 6 Wooden Oil Extractio"/>
      <sheetName val="Activity 8 Custom Hiring"/>
      <sheetName val="Activity 2 Vegetable "/>
      <sheetName val="Activity 1 Agri Input"/>
      <sheetName val="Cons Profit &amp; Loss"/>
      <sheetName val="Admin Exp"/>
      <sheetName val="IRR"/>
      <sheetName val="BEP"/>
      <sheetName val="NPV"/>
      <sheetName val="ROI"/>
      <sheetName val="Output"/>
      <sheetName val="Sheet1"/>
      <sheetName val="Depreciation"/>
      <sheetName val="Tax"/>
      <sheetName val="Cash Flow (2)"/>
      <sheetName val="Balance Sheet"/>
      <sheetName val="Financial Indicators"/>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ow r="51">
          <cell r="B51" t="str">
            <v>Output (Ltrs/KG)</v>
          </cell>
        </row>
      </sheetData>
      <sheetData sheetId="23" refreshError="1"/>
      <sheetData sheetId="24" refreshError="1"/>
      <sheetData sheetId="25" refreshError="1"/>
      <sheetData sheetId="26" refreshError="1"/>
      <sheetData sheetId="27" refreshError="1"/>
      <sheetData sheetId="2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 /></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 /><Relationship Id="rId1" Type="http://schemas.openxmlformats.org/officeDocument/2006/relationships/hyperlink" Target="https://www.investopedia.com/terms/d/discountrate.asp" TargetMode="External" /></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 /></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 /></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 /></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 /></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 /></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 /></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 /></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 /></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 /></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37"/>
  <sheetViews>
    <sheetView view="pageBreakPreview" topLeftCell="A4" zoomScale="60" zoomScaleNormal="130" workbookViewId="0">
      <selection activeCell="I29" sqref="I29"/>
    </sheetView>
  </sheetViews>
  <sheetFormatPr defaultColWidth="9.14453125" defaultRowHeight="15" x14ac:dyDescent="0.2"/>
  <cols>
    <col min="1" max="1" width="12.9140625" style="338" customWidth="1"/>
    <col min="2" max="2" width="55.9609375" style="338" customWidth="1"/>
    <col min="3" max="3" width="26.23046875" style="338" customWidth="1"/>
    <col min="4" max="4" width="20.71484375" style="338" customWidth="1"/>
    <col min="5" max="5" width="26.09765625" style="338" customWidth="1"/>
    <col min="6" max="16384" width="9.14453125" style="338"/>
  </cols>
  <sheetData>
    <row r="1" spans="1:5" ht="26.25" customHeight="1" x14ac:dyDescent="0.2">
      <c r="A1" s="430" t="s">
        <v>647</v>
      </c>
      <c r="B1" s="430"/>
      <c r="C1" s="430"/>
      <c r="D1" s="430"/>
      <c r="E1" s="430"/>
    </row>
    <row r="2" spans="1:5" ht="26.25" customHeight="1" x14ac:dyDescent="0.2">
      <c r="A2" s="431" t="s">
        <v>643</v>
      </c>
      <c r="B2" s="431"/>
      <c r="C2" s="431"/>
      <c r="D2" s="431"/>
      <c r="E2" s="431"/>
    </row>
    <row r="3" spans="1:5" ht="23.25" customHeight="1" x14ac:dyDescent="0.2">
      <c r="A3" s="432" t="s">
        <v>614</v>
      </c>
      <c r="B3" s="432"/>
      <c r="C3" s="432"/>
      <c r="D3" s="432"/>
      <c r="E3" s="432"/>
    </row>
    <row r="4" spans="1:5" ht="240.75" customHeight="1" x14ac:dyDescent="0.2">
      <c r="A4" s="433" t="s">
        <v>648</v>
      </c>
      <c r="B4" s="433"/>
      <c r="C4" s="433"/>
      <c r="D4" s="433"/>
      <c r="E4" s="433"/>
    </row>
    <row r="5" spans="1:5" ht="23.25" customHeight="1" x14ac:dyDescent="0.2">
      <c r="A5" s="432" t="s">
        <v>615</v>
      </c>
      <c r="B5" s="432"/>
      <c r="C5" s="432"/>
      <c r="D5" s="432"/>
      <c r="E5" s="432"/>
    </row>
    <row r="6" spans="1:5" ht="108" customHeight="1" x14ac:dyDescent="0.2">
      <c r="A6" s="440" t="s">
        <v>686</v>
      </c>
      <c r="B6" s="441"/>
      <c r="C6" s="441"/>
      <c r="D6" s="441"/>
      <c r="E6" s="442"/>
    </row>
    <row r="7" spans="1:5" ht="23.25" customHeight="1" x14ac:dyDescent="0.2">
      <c r="A7" s="443" t="s">
        <v>649</v>
      </c>
      <c r="B7" s="443"/>
      <c r="C7" s="443"/>
      <c r="D7" s="443"/>
      <c r="E7" s="443"/>
    </row>
    <row r="8" spans="1:5" ht="125.25" customHeight="1" x14ac:dyDescent="0.2">
      <c r="A8" s="433" t="s">
        <v>685</v>
      </c>
      <c r="B8" s="433"/>
      <c r="C8" s="433"/>
      <c r="D8" s="433"/>
      <c r="E8" s="433"/>
    </row>
    <row r="9" spans="1:5" ht="23.25" x14ac:dyDescent="0.2">
      <c r="A9" s="432" t="s">
        <v>640</v>
      </c>
      <c r="B9" s="432"/>
      <c r="C9" s="432"/>
      <c r="D9" s="432"/>
      <c r="E9" s="432"/>
    </row>
    <row r="10" spans="1:5" x14ac:dyDescent="0.2">
      <c r="A10" s="338" t="s">
        <v>616</v>
      </c>
      <c r="B10" s="338" t="s">
        <v>151</v>
      </c>
    </row>
    <row r="11" spans="1:5" ht="20.25" customHeight="1" x14ac:dyDescent="0.2">
      <c r="A11" s="342"/>
      <c r="B11" s="444" t="s">
        <v>407</v>
      </c>
      <c r="C11" s="445"/>
      <c r="D11" s="445"/>
      <c r="E11" s="446"/>
    </row>
    <row r="12" spans="1:5" x14ac:dyDescent="0.2">
      <c r="A12" s="343"/>
      <c r="B12" s="434" t="s">
        <v>408</v>
      </c>
      <c r="C12" s="434"/>
      <c r="D12" s="434"/>
      <c r="E12" s="434"/>
    </row>
    <row r="13" spans="1:5" s="347" customFormat="1" x14ac:dyDescent="0.2">
      <c r="A13" s="435"/>
      <c r="B13" s="435"/>
      <c r="C13" s="435"/>
      <c r="D13" s="435"/>
      <c r="E13" s="436"/>
    </row>
    <row r="14" spans="1:5" ht="23.25" x14ac:dyDescent="0.2">
      <c r="A14" s="432" t="s">
        <v>641</v>
      </c>
      <c r="B14" s="432"/>
      <c r="C14" s="432"/>
      <c r="D14" s="432"/>
      <c r="E14" s="432"/>
    </row>
    <row r="15" spans="1:5" x14ac:dyDescent="0.2">
      <c r="A15" s="339" t="s">
        <v>612</v>
      </c>
      <c r="B15" s="339" t="s">
        <v>650</v>
      </c>
      <c r="C15" s="339" t="s">
        <v>452</v>
      </c>
      <c r="D15" s="339" t="s">
        <v>620</v>
      </c>
      <c r="E15" s="339" t="s">
        <v>613</v>
      </c>
    </row>
    <row r="16" spans="1:5" x14ac:dyDescent="0.2">
      <c r="A16" s="348" t="s">
        <v>174</v>
      </c>
      <c r="B16" s="348" t="s">
        <v>651</v>
      </c>
      <c r="C16" s="348"/>
      <c r="D16" s="348"/>
      <c r="E16" s="348"/>
    </row>
    <row r="17" spans="1:5" ht="41.25" x14ac:dyDescent="0.2">
      <c r="A17" s="349" t="s">
        <v>630</v>
      </c>
      <c r="B17" s="340" t="s">
        <v>637</v>
      </c>
      <c r="C17" s="340" t="s">
        <v>682</v>
      </c>
      <c r="D17" s="340" t="s">
        <v>652</v>
      </c>
      <c r="E17" s="340"/>
    </row>
    <row r="18" spans="1:5" ht="68.25" x14ac:dyDescent="0.2">
      <c r="A18" s="349" t="s">
        <v>631</v>
      </c>
      <c r="B18" s="340" t="s">
        <v>617</v>
      </c>
      <c r="C18" s="340" t="s">
        <v>683</v>
      </c>
      <c r="D18" s="340" t="s">
        <v>653</v>
      </c>
      <c r="E18" s="340"/>
    </row>
    <row r="19" spans="1:5" ht="26.25" customHeight="1" x14ac:dyDescent="0.2">
      <c r="A19" s="349" t="s">
        <v>632</v>
      </c>
      <c r="B19" s="341" t="s">
        <v>644</v>
      </c>
      <c r="C19" s="340" t="s">
        <v>654</v>
      </c>
      <c r="D19" s="340" t="s">
        <v>655</v>
      </c>
      <c r="E19" s="340" t="s">
        <v>642</v>
      </c>
    </row>
    <row r="20" spans="1:5" x14ac:dyDescent="0.2">
      <c r="A20" s="349" t="s">
        <v>633</v>
      </c>
      <c r="B20" s="340" t="s">
        <v>684</v>
      </c>
      <c r="C20" s="340"/>
      <c r="D20" s="340"/>
      <c r="E20" s="340"/>
    </row>
    <row r="21" spans="1:5" x14ac:dyDescent="0.2">
      <c r="A21" s="340">
        <v>4.0999999999999996</v>
      </c>
      <c r="B21" s="340" t="s">
        <v>624</v>
      </c>
      <c r="C21" s="437" t="s">
        <v>656</v>
      </c>
      <c r="D21" s="340" t="s">
        <v>657</v>
      </c>
      <c r="E21" s="340"/>
    </row>
    <row r="22" spans="1:5" x14ac:dyDescent="0.2">
      <c r="A22" s="340">
        <v>4.2</v>
      </c>
      <c r="B22" s="340" t="s">
        <v>628</v>
      </c>
      <c r="C22" s="438"/>
      <c r="D22" s="340" t="s">
        <v>658</v>
      </c>
      <c r="E22" s="340"/>
    </row>
    <row r="23" spans="1:5" x14ac:dyDescent="0.2">
      <c r="A23" s="340">
        <v>4.3</v>
      </c>
      <c r="B23" s="340" t="s">
        <v>625</v>
      </c>
      <c r="C23" s="438"/>
      <c r="D23" s="340" t="s">
        <v>659</v>
      </c>
      <c r="E23" s="340"/>
    </row>
    <row r="24" spans="1:5" x14ac:dyDescent="0.2">
      <c r="A24" s="340">
        <v>4.4000000000000004</v>
      </c>
      <c r="B24" s="340" t="s">
        <v>626</v>
      </c>
      <c r="C24" s="438"/>
      <c r="D24" s="340" t="s">
        <v>660</v>
      </c>
      <c r="E24" s="340"/>
    </row>
    <row r="25" spans="1:5" x14ac:dyDescent="0.2">
      <c r="A25" s="340">
        <v>4.5</v>
      </c>
      <c r="B25" s="340" t="s">
        <v>627</v>
      </c>
      <c r="C25" s="438"/>
      <c r="D25" s="340" t="s">
        <v>661</v>
      </c>
      <c r="E25" s="340"/>
    </row>
    <row r="26" spans="1:5" x14ac:dyDescent="0.2">
      <c r="A26" s="340">
        <v>4.5999999999999996</v>
      </c>
      <c r="B26" s="340" t="s">
        <v>629</v>
      </c>
      <c r="C26" s="439"/>
      <c r="D26" s="340" t="s">
        <v>662</v>
      </c>
      <c r="E26" s="340"/>
    </row>
    <row r="27" spans="1:5" ht="41.25" x14ac:dyDescent="0.2">
      <c r="A27" s="349" t="s">
        <v>634</v>
      </c>
      <c r="B27" s="340" t="s">
        <v>618</v>
      </c>
      <c r="C27" s="340" t="s">
        <v>663</v>
      </c>
      <c r="D27" s="340" t="s">
        <v>688</v>
      </c>
      <c r="E27" s="340"/>
    </row>
    <row r="28" spans="1:5" ht="41.25" x14ac:dyDescent="0.2">
      <c r="A28" s="349" t="s">
        <v>635</v>
      </c>
      <c r="B28" s="340" t="s">
        <v>664</v>
      </c>
      <c r="C28" s="340" t="s">
        <v>665</v>
      </c>
      <c r="D28" s="340" t="s">
        <v>666</v>
      </c>
      <c r="E28" s="340"/>
    </row>
    <row r="29" spans="1:5" ht="27.75" x14ac:dyDescent="0.2">
      <c r="A29" s="349" t="s">
        <v>636</v>
      </c>
      <c r="B29" s="340" t="s">
        <v>619</v>
      </c>
      <c r="C29" s="340" t="s">
        <v>667</v>
      </c>
      <c r="D29" s="340" t="s">
        <v>668</v>
      </c>
      <c r="E29" s="340"/>
    </row>
    <row r="30" spans="1:5" x14ac:dyDescent="0.2">
      <c r="A30" s="348" t="s">
        <v>175</v>
      </c>
      <c r="B30" s="350" t="s">
        <v>669</v>
      </c>
      <c r="C30" s="348"/>
      <c r="D30" s="348"/>
      <c r="E30" s="348"/>
    </row>
    <row r="31" spans="1:5" ht="26.25" customHeight="1" x14ac:dyDescent="0.2">
      <c r="A31" s="351" t="s">
        <v>670</v>
      </c>
      <c r="B31" s="340" t="s">
        <v>621</v>
      </c>
      <c r="C31" s="340"/>
      <c r="D31" s="340" t="s">
        <v>671</v>
      </c>
      <c r="E31" s="340" t="s">
        <v>642</v>
      </c>
    </row>
    <row r="32" spans="1:5" x14ac:dyDescent="0.2">
      <c r="A32" s="351" t="s">
        <v>672</v>
      </c>
      <c r="B32" s="340" t="s">
        <v>622</v>
      </c>
      <c r="C32" s="340"/>
      <c r="D32" s="340" t="s">
        <v>673</v>
      </c>
      <c r="E32" s="340" t="s">
        <v>642</v>
      </c>
    </row>
    <row r="33" spans="1:5" x14ac:dyDescent="0.2">
      <c r="A33" s="351" t="s">
        <v>674</v>
      </c>
      <c r="B33" s="340" t="s">
        <v>623</v>
      </c>
      <c r="C33" s="340"/>
      <c r="D33" s="340" t="s">
        <v>675</v>
      </c>
      <c r="E33" s="340" t="s">
        <v>642</v>
      </c>
    </row>
    <row r="34" spans="1:5" ht="35.25" customHeight="1" x14ac:dyDescent="0.2">
      <c r="A34" s="351" t="s">
        <v>676</v>
      </c>
      <c r="B34" s="340" t="s">
        <v>638</v>
      </c>
      <c r="C34" s="340"/>
      <c r="D34" s="340" t="s">
        <v>677</v>
      </c>
      <c r="E34" s="340" t="s">
        <v>642</v>
      </c>
    </row>
    <row r="35" spans="1:5" ht="35.25" customHeight="1" x14ac:dyDescent="0.2">
      <c r="A35" s="351" t="s">
        <v>678</v>
      </c>
      <c r="B35" s="340" t="s">
        <v>679</v>
      </c>
      <c r="C35" s="340"/>
      <c r="D35" s="340" t="s">
        <v>687</v>
      </c>
      <c r="E35" s="340" t="s">
        <v>642</v>
      </c>
    </row>
    <row r="36" spans="1:5" x14ac:dyDescent="0.2">
      <c r="A36" s="349" t="s">
        <v>680</v>
      </c>
      <c r="B36" s="340" t="s">
        <v>681</v>
      </c>
      <c r="C36" s="340"/>
      <c r="D36" s="340"/>
      <c r="E36" s="340"/>
    </row>
    <row r="37" spans="1:5" ht="21" x14ac:dyDescent="0.2">
      <c r="A37" s="429"/>
      <c r="B37" s="429"/>
      <c r="C37" s="429"/>
      <c r="D37" s="429"/>
      <c r="E37" s="429"/>
    </row>
  </sheetData>
  <mergeCells count="15">
    <mergeCell ref="A37:E37"/>
    <mergeCell ref="A1:E1"/>
    <mergeCell ref="A2:E2"/>
    <mergeCell ref="A3:E3"/>
    <mergeCell ref="A4:E4"/>
    <mergeCell ref="A5:E5"/>
    <mergeCell ref="B12:E12"/>
    <mergeCell ref="A13:E13"/>
    <mergeCell ref="A14:E14"/>
    <mergeCell ref="C21:C26"/>
    <mergeCell ref="A6:E6"/>
    <mergeCell ref="A7:E7"/>
    <mergeCell ref="A8:E8"/>
    <mergeCell ref="A9:E9"/>
    <mergeCell ref="B11:E11"/>
  </mergeCells>
  <pageMargins left="0.21" right="0.33" top="0.74803149606299202" bottom="0.74803149606299202" header="0.31496062992126" footer="0.31496062992126"/>
  <pageSetup paperSize="9" orientation="landscape" horizontalDpi="300" r:id="rId1"/>
  <rowBreaks count="2" manualBreakCount="2">
    <brk id="6" max="16383" man="1"/>
    <brk id="20" max="4"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5:S184"/>
  <sheetViews>
    <sheetView view="pageBreakPreview" topLeftCell="A67" zoomScale="80" zoomScaleSheetLayoutView="80" workbookViewId="0">
      <selection activeCell="I29" sqref="I29"/>
    </sheetView>
  </sheetViews>
  <sheetFormatPr defaultRowHeight="15" x14ac:dyDescent="0.2"/>
  <cols>
    <col min="2" max="2" width="41.02734375" customWidth="1"/>
    <col min="3" max="3" width="23.67578125" customWidth="1"/>
    <col min="4" max="4" width="24.078125" bestFit="1" customWidth="1"/>
    <col min="5" max="5" width="18.4296875" customWidth="1"/>
    <col min="6" max="6" width="20.4453125" customWidth="1"/>
    <col min="7" max="7" width="22.46484375" customWidth="1"/>
    <col min="8" max="8" width="24.078125" bestFit="1" customWidth="1"/>
    <col min="9" max="9" width="25.01953125" customWidth="1"/>
    <col min="10" max="10" width="14.796875" customWidth="1"/>
    <col min="11" max="11" width="14.390625" customWidth="1"/>
    <col min="12" max="12" width="14.796875" bestFit="1" customWidth="1"/>
    <col min="13" max="18" width="11.8359375" bestFit="1" customWidth="1"/>
    <col min="19" max="19" width="4.5703125" bestFit="1" customWidth="1"/>
  </cols>
  <sheetData>
    <row r="5" spans="2:12" ht="18" x14ac:dyDescent="0.2">
      <c r="B5" s="488" t="s">
        <v>563</v>
      </c>
      <c r="C5" s="488"/>
      <c r="D5" s="488"/>
      <c r="E5" s="488"/>
      <c r="F5" s="488"/>
      <c r="G5" s="488"/>
      <c r="H5" s="488"/>
      <c r="I5" s="488"/>
      <c r="J5" s="488"/>
    </row>
    <row r="6" spans="2:12" ht="16.5" x14ac:dyDescent="0.2">
      <c r="B6" s="7"/>
      <c r="C6" s="7"/>
      <c r="D6" s="7"/>
      <c r="E6" s="7"/>
      <c r="F6" s="7"/>
      <c r="G6" s="7"/>
      <c r="H6" s="7"/>
      <c r="I6" s="7"/>
      <c r="J6" s="7"/>
    </row>
    <row r="7" spans="2:12" x14ac:dyDescent="0.2">
      <c r="B7" s="81" t="s">
        <v>29</v>
      </c>
      <c r="C7" s="82" t="s">
        <v>339</v>
      </c>
      <c r="D7" s="82" t="s">
        <v>2</v>
      </c>
      <c r="E7" s="82" t="s">
        <v>3</v>
      </c>
      <c r="F7" s="82" t="s">
        <v>4</v>
      </c>
      <c r="G7" s="82" t="s">
        <v>5</v>
      </c>
      <c r="H7" s="82" t="s">
        <v>6</v>
      </c>
      <c r="I7" s="82" t="s">
        <v>170</v>
      </c>
      <c r="J7" s="82" t="s">
        <v>169</v>
      </c>
      <c r="L7" s="344"/>
    </row>
    <row r="8" spans="2:12" x14ac:dyDescent="0.2">
      <c r="B8" s="83"/>
      <c r="C8" s="83"/>
      <c r="D8" s="83"/>
      <c r="E8" s="83"/>
      <c r="F8" s="83"/>
      <c r="G8" s="83"/>
      <c r="H8" s="83"/>
      <c r="I8" s="83"/>
      <c r="J8" s="83"/>
    </row>
    <row r="9" spans="2:12" x14ac:dyDescent="0.2">
      <c r="B9" s="83" t="s">
        <v>30</v>
      </c>
      <c r="C9" s="83"/>
      <c r="D9" s="84">
        <f>'6.Cons Profit &amp; Loss'!B49</f>
        <v>-151634.88914491539</v>
      </c>
      <c r="E9" s="84">
        <f>'6.Cons Profit &amp; Loss'!C49</f>
        <v>1477618.605877474</v>
      </c>
      <c r="F9" s="84">
        <f>'6.Cons Profit &amp; Loss'!D49</f>
        <v>3314129.5932761501</v>
      </c>
      <c r="G9" s="84">
        <f>'6.Cons Profit &amp; Loss'!E49</f>
        <v>5331280.438544834</v>
      </c>
      <c r="H9" s="84">
        <f>'6.Cons Profit &amp; Loss'!F49</f>
        <v>5986349.5816277992</v>
      </c>
      <c r="I9" s="84">
        <f>'6.Cons Profit &amp; Loss'!G49</f>
        <v>10013796.785726102</v>
      </c>
      <c r="J9" s="84">
        <f>'6.Cons Profit &amp; Loss'!H51</f>
        <v>11224527.464097425</v>
      </c>
    </row>
    <row r="10" spans="2:12" x14ac:dyDescent="0.2">
      <c r="B10" s="83"/>
      <c r="C10" s="83"/>
      <c r="D10" s="84"/>
      <c r="E10" s="84"/>
      <c r="F10" s="84"/>
      <c r="G10" s="84"/>
      <c r="H10" s="84"/>
      <c r="I10" s="84"/>
      <c r="J10" s="84"/>
    </row>
    <row r="11" spans="2:12" x14ac:dyDescent="0.2">
      <c r="B11" s="85" t="s">
        <v>31</v>
      </c>
      <c r="C11" s="85"/>
      <c r="D11" s="84">
        <f>'6.Cons Profit &amp; Loss'!B42</f>
        <v>979881.25860200007</v>
      </c>
      <c r="E11" s="84">
        <f>'6.Cons Profit &amp; Loss'!C42</f>
        <v>979881.25860200007</v>
      </c>
      <c r="F11" s="84">
        <f>'6.Cons Profit &amp; Loss'!D42</f>
        <v>979881.25860200007</v>
      </c>
      <c r="G11" s="84">
        <f>'6.Cons Profit &amp; Loss'!E42</f>
        <v>979881.25860200007</v>
      </c>
      <c r="H11" s="84">
        <f>'6.Cons Profit &amp; Loss'!F42</f>
        <v>979881.25860200007</v>
      </c>
      <c r="I11" s="84">
        <f>'6.Cons Profit &amp; Loss'!G42</f>
        <v>979881.25860200007</v>
      </c>
      <c r="J11" s="84">
        <f>'6.Cons Profit &amp; Loss'!H42</f>
        <v>979881.25860200007</v>
      </c>
    </row>
    <row r="12" spans="2:12" x14ac:dyDescent="0.2">
      <c r="B12" s="83" t="s">
        <v>36</v>
      </c>
      <c r="C12" s="83"/>
      <c r="D12" s="84">
        <f>'6.Cons Profit &amp; Loss'!B43</f>
        <v>195170</v>
      </c>
      <c r="E12" s="84">
        <f>'6.Cons Profit &amp; Loss'!C43</f>
        <v>195170</v>
      </c>
      <c r="F12" s="84">
        <f>'6.Cons Profit &amp; Loss'!D43</f>
        <v>195170</v>
      </c>
      <c r="G12" s="84">
        <f>'6.Cons Profit &amp; Loss'!E43</f>
        <v>195170</v>
      </c>
      <c r="H12" s="84">
        <f>'6.Cons Profit &amp; Loss'!F43</f>
        <v>195170</v>
      </c>
      <c r="I12" s="84">
        <f>'6.Cons Profit &amp; Loss'!G43</f>
        <v>0</v>
      </c>
      <c r="J12" s="84">
        <f>'6.Cons Profit &amp; Loss'!H43</f>
        <v>0</v>
      </c>
    </row>
    <row r="13" spans="2:12" x14ac:dyDescent="0.2">
      <c r="B13" s="83"/>
      <c r="C13" s="83"/>
      <c r="D13" s="83"/>
      <c r="E13" s="83"/>
      <c r="F13" s="83"/>
      <c r="G13" s="83"/>
      <c r="H13" s="83"/>
      <c r="I13" s="83"/>
      <c r="J13" s="83"/>
    </row>
    <row r="14" spans="2:12" x14ac:dyDescent="0.2">
      <c r="B14" s="83" t="s">
        <v>32</v>
      </c>
      <c r="C14" s="83"/>
      <c r="D14" s="84">
        <f>SUM(D9:D12)</f>
        <v>1023416.3694570847</v>
      </c>
      <c r="E14" s="84">
        <f t="shared" ref="E14:J14" si="0">SUM(E9:E12)</f>
        <v>2652669.8644794738</v>
      </c>
      <c r="F14" s="84">
        <f t="shared" si="0"/>
        <v>4489180.8518781504</v>
      </c>
      <c r="G14" s="84">
        <f t="shared" si="0"/>
        <v>6506331.6971468339</v>
      </c>
      <c r="H14" s="84">
        <f t="shared" si="0"/>
        <v>7161400.840229799</v>
      </c>
      <c r="I14" s="84">
        <f t="shared" si="0"/>
        <v>10993678.044328103</v>
      </c>
      <c r="J14" s="84">
        <f t="shared" si="0"/>
        <v>12204408.722699426</v>
      </c>
    </row>
    <row r="15" spans="2:12" x14ac:dyDescent="0.2">
      <c r="B15" s="83" t="s">
        <v>348</v>
      </c>
      <c r="C15" s="86">
        <f>-'1.Project Cost and MOF'!D12</f>
        <v>-27225870.417019196</v>
      </c>
      <c r="D15" s="84">
        <f>D14</f>
        <v>1023416.3694570847</v>
      </c>
      <c r="E15" s="84">
        <f t="shared" ref="E15:J15" si="1">E14</f>
        <v>2652669.8644794738</v>
      </c>
      <c r="F15" s="84">
        <f t="shared" si="1"/>
        <v>4489180.8518781504</v>
      </c>
      <c r="G15" s="84">
        <f t="shared" si="1"/>
        <v>6506331.6971468339</v>
      </c>
      <c r="H15" s="84">
        <f t="shared" si="1"/>
        <v>7161400.840229799</v>
      </c>
      <c r="I15" s="84">
        <f t="shared" si="1"/>
        <v>10993678.044328103</v>
      </c>
      <c r="J15" s="84">
        <f t="shared" si="1"/>
        <v>12204408.722699426</v>
      </c>
    </row>
    <row r="16" spans="2:12" x14ac:dyDescent="0.2">
      <c r="B16" s="85" t="s">
        <v>282</v>
      </c>
      <c r="C16" s="365">
        <f>IRR(C15:J15)</f>
        <v>0.10514239751236754</v>
      </c>
      <c r="D16" s="84"/>
      <c r="E16" s="84"/>
      <c r="F16" s="84"/>
      <c r="G16" s="84"/>
      <c r="H16" s="84"/>
      <c r="I16" s="84"/>
      <c r="J16" s="84"/>
    </row>
    <row r="17" spans="2:19" x14ac:dyDescent="0.2">
      <c r="B17" s="83"/>
      <c r="C17" s="83"/>
      <c r="D17" s="83"/>
      <c r="E17" s="83"/>
      <c r="F17" s="83"/>
      <c r="G17" s="83"/>
      <c r="H17" s="83"/>
      <c r="I17" s="83"/>
      <c r="J17" s="83"/>
    </row>
    <row r="18" spans="2:19" ht="16.5" x14ac:dyDescent="0.2">
      <c r="B18" s="241" t="s">
        <v>410</v>
      </c>
      <c r="C18" s="241"/>
      <c r="D18" s="242">
        <f>1/(1+$C$16)</f>
        <v>0.90486076930082582</v>
      </c>
      <c r="E18" s="243">
        <f t="shared" ref="E18:J18" si="2">D18/(1+$C$16)</f>
        <v>0.81877301181968232</v>
      </c>
      <c r="F18" s="243">
        <f t="shared" si="2"/>
        <v>0.74087557735791199</v>
      </c>
      <c r="G18" s="243">
        <f t="shared" si="2"/>
        <v>0.67038924488427376</v>
      </c>
      <c r="H18" s="243">
        <f t="shared" si="2"/>
        <v>0.60660892785698373</v>
      </c>
      <c r="I18" s="243">
        <f t="shared" si="2"/>
        <v>0.54889662112541948</v>
      </c>
      <c r="J18" s="243">
        <f t="shared" si="2"/>
        <v>0.496675018858171</v>
      </c>
      <c r="L18" s="16"/>
      <c r="M18" s="16"/>
      <c r="N18" s="16"/>
      <c r="O18" s="16"/>
      <c r="P18" s="16"/>
      <c r="Q18" s="16"/>
      <c r="R18" s="16"/>
      <c r="S18" s="16"/>
    </row>
    <row r="19" spans="2:19" x14ac:dyDescent="0.2">
      <c r="B19" s="83" t="s">
        <v>33</v>
      </c>
      <c r="C19" s="83"/>
      <c r="D19" s="84">
        <f t="shared" ref="D19:J19" si="3">D14*D18</f>
        <v>926049.32338199578</v>
      </c>
      <c r="E19" s="84">
        <f t="shared" si="3"/>
        <v>2171934.4943031673</v>
      </c>
      <c r="F19" s="84">
        <f t="shared" si="3"/>
        <v>3325924.4554993077</v>
      </c>
      <c r="G19" s="84">
        <f t="shared" si="3"/>
        <v>4361774.793416881</v>
      </c>
      <c r="H19" s="84">
        <f t="shared" si="3"/>
        <v>4344169.6856459007</v>
      </c>
      <c r="I19" s="84">
        <f t="shared" si="3"/>
        <v>6034392.7322724052</v>
      </c>
      <c r="J19" s="84">
        <f t="shared" si="3"/>
        <v>6061624.9324995643</v>
      </c>
      <c r="L19" s="5"/>
    </row>
    <row r="20" spans="2:19" x14ac:dyDescent="0.2">
      <c r="B20" s="83" t="s">
        <v>34</v>
      </c>
      <c r="C20" s="83"/>
      <c r="D20" s="495">
        <f>SUM(D19:J19)</f>
        <v>27225870.417019222</v>
      </c>
      <c r="E20" s="495"/>
      <c r="F20" s="495"/>
      <c r="G20" s="495"/>
      <c r="H20" s="495"/>
      <c r="I20" s="495"/>
      <c r="J20" s="495"/>
      <c r="L20" s="5"/>
    </row>
    <row r="21" spans="2:19" x14ac:dyDescent="0.2">
      <c r="B21" s="83"/>
      <c r="C21" s="83"/>
      <c r="D21" s="84"/>
      <c r="E21" s="84"/>
      <c r="F21" s="84"/>
      <c r="G21" s="84"/>
      <c r="H21" s="84"/>
      <c r="I21" s="84"/>
      <c r="J21" s="84"/>
    </row>
    <row r="22" spans="2:19" x14ac:dyDescent="0.2">
      <c r="B22" s="8" t="s">
        <v>35</v>
      </c>
      <c r="C22" s="8"/>
      <c r="D22" s="496">
        <f>'1.Project Cost and MOF'!D12</f>
        <v>27225870.417019196</v>
      </c>
      <c r="E22" s="496"/>
      <c r="F22" s="496"/>
      <c r="G22" s="496"/>
      <c r="H22" s="496"/>
      <c r="I22" s="496"/>
      <c r="J22" s="496"/>
    </row>
    <row r="23" spans="2:19" x14ac:dyDescent="0.2">
      <c r="F23" s="16">
        <f>D20-D22</f>
        <v>0</v>
      </c>
    </row>
    <row r="24" spans="2:19" ht="29.45" customHeight="1" x14ac:dyDescent="0.2">
      <c r="B24" s="489" t="s">
        <v>427</v>
      </c>
      <c r="C24" s="489"/>
      <c r="D24" s="489"/>
      <c r="E24" s="489"/>
      <c r="F24" s="489"/>
      <c r="G24" s="489"/>
      <c r="H24" s="489"/>
      <c r="I24" s="489"/>
      <c r="J24" s="489"/>
    </row>
    <row r="25" spans="2:19" x14ac:dyDescent="0.2">
      <c r="K25" s="16"/>
      <c r="L25" s="16"/>
      <c r="M25" s="16"/>
    </row>
    <row r="26" spans="2:19" ht="18" x14ac:dyDescent="0.2">
      <c r="B26" s="451" t="s">
        <v>564</v>
      </c>
      <c r="C26" s="451"/>
      <c r="D26" s="451"/>
      <c r="E26" s="451"/>
      <c r="F26" s="451"/>
      <c r="G26" s="451"/>
      <c r="H26" s="451"/>
      <c r="I26" s="451"/>
    </row>
    <row r="27" spans="2:19" x14ac:dyDescent="0.2">
      <c r="K27" s="16"/>
    </row>
    <row r="28" spans="2:19" x14ac:dyDescent="0.2">
      <c r="B28" s="108" t="s">
        <v>0</v>
      </c>
      <c r="C28" s="99" t="s">
        <v>2</v>
      </c>
      <c r="D28" s="99" t="s">
        <v>3</v>
      </c>
      <c r="E28" s="99" t="s">
        <v>4</v>
      </c>
      <c r="F28" s="99" t="s">
        <v>5</v>
      </c>
      <c r="G28" s="99" t="s">
        <v>6</v>
      </c>
      <c r="H28" s="99" t="s">
        <v>170</v>
      </c>
      <c r="I28" s="99" t="s">
        <v>169</v>
      </c>
    </row>
    <row r="29" spans="2:19" x14ac:dyDescent="0.2">
      <c r="B29" s="90"/>
      <c r="C29" s="90"/>
      <c r="D29" s="90"/>
      <c r="E29" s="90"/>
      <c r="F29" s="90"/>
      <c r="G29" s="90"/>
      <c r="H29" s="90"/>
      <c r="I29" s="90"/>
    </row>
    <row r="30" spans="2:19" x14ac:dyDescent="0.2">
      <c r="B30" s="90" t="s">
        <v>37</v>
      </c>
      <c r="C30" s="90"/>
      <c r="D30" s="90"/>
      <c r="E30" s="90"/>
      <c r="F30" s="90"/>
      <c r="G30" s="90"/>
      <c r="H30" s="90"/>
      <c r="I30" s="90"/>
    </row>
    <row r="31" spans="2:19" x14ac:dyDescent="0.2">
      <c r="B31" s="90"/>
      <c r="C31" s="91"/>
      <c r="D31" s="91"/>
      <c r="E31" s="91"/>
      <c r="F31" s="91"/>
      <c r="G31" s="91"/>
      <c r="H31" s="91"/>
      <c r="I31" s="91"/>
    </row>
    <row r="32" spans="2:19" x14ac:dyDescent="0.2">
      <c r="B32" s="105" t="str">
        <f>'6.Cons Profit &amp; Loss'!A8</f>
        <v>Faclitiy 1 - Cleaning &amp; Grading</v>
      </c>
      <c r="C32" s="91">
        <f>'6.Cons Profit &amp; Loss'!B8</f>
        <v>65127868.435980007</v>
      </c>
      <c r="D32" s="91">
        <f>'6.Cons Profit &amp; Loss'!C8</f>
        <v>86861339.68049477</v>
      </c>
      <c r="E32" s="91">
        <f>'6.Cons Profit &amp; Loss'!D8</f>
        <v>109517791.1462326</v>
      </c>
      <c r="F32" s="91">
        <f>'6.Cons Profit &amp; Loss'!E8</f>
        <v>134222734.409343</v>
      </c>
      <c r="G32" s="91">
        <f>'6.Cons Profit &amp; Loss'!F8</f>
        <v>161124377.52089894</v>
      </c>
      <c r="H32" s="91">
        <f>'6.Cons Profit &amp; Loss'!G8</f>
        <v>190380628.10758704</v>
      </c>
      <c r="I32" s="91">
        <f>'6.Cons Profit &amp; Loss'!H8</f>
        <v>206149906.83870089</v>
      </c>
    </row>
    <row r="33" spans="2:9" x14ac:dyDescent="0.2">
      <c r="B33" s="105" t="str">
        <f>'6.Cons Profit &amp; Loss'!A9</f>
        <v>Faclitiy 2 - Processing Unit- Dal Mill</v>
      </c>
      <c r="C33" s="91">
        <f>'6.Cons Profit &amp; Loss'!B9</f>
        <v>35650494.290000007</v>
      </c>
      <c r="D33" s="91">
        <f>'6.Cons Profit &amp; Loss'!C9</f>
        <v>57759717.062250018</v>
      </c>
      <c r="E33" s="91">
        <f>'6.Cons Profit &amp; Loss'!D9</f>
        <v>81145386.884362504</v>
      </c>
      <c r="F33" s="91">
        <f>'6.Cons Profit &amp; Loss'!E9</f>
        <v>106725224.39603063</v>
      </c>
      <c r="G33" s="91">
        <f>'6.Cons Profit &amp; Loss'!F9</f>
        <v>134660182.19165468</v>
      </c>
      <c r="H33" s="91">
        <f>'6.Cons Profit &amp; Loss'!G9</f>
        <v>165121822.70585108</v>
      </c>
      <c r="I33" s="91">
        <f>'6.Cons Profit &amp; Loss'!H9</f>
        <v>196221596.34465644</v>
      </c>
    </row>
    <row r="34" spans="2:9" x14ac:dyDescent="0.2">
      <c r="B34" s="105" t="str">
        <f>'6.Cons Profit &amp; Loss'!A10</f>
        <v>Faclitiy 3 - Warehouse</v>
      </c>
      <c r="C34" s="91">
        <f>'6.Cons Profit &amp; Loss'!B10</f>
        <v>970199.99999999988</v>
      </c>
      <c r="D34" s="91">
        <f>'6.Cons Profit &amp; Loss'!C10</f>
        <v>1091475</v>
      </c>
      <c r="E34" s="91">
        <f>'6.Cons Profit &amp; Loss'!D10</f>
        <v>1222452</v>
      </c>
      <c r="F34" s="91">
        <f>'6.Cons Profit &amp; Loss'!E10</f>
        <v>1363798.0125000004</v>
      </c>
      <c r="G34" s="91">
        <f>'6.Cons Profit &amp; Loss'!F10</f>
        <v>0</v>
      </c>
      <c r="H34" s="91">
        <f>'6.Cons Profit &amp; Loss'!G10</f>
        <v>1592033.6210625006</v>
      </c>
      <c r="I34" s="91">
        <f>'6.Cons Profit &amp; Loss'!H10</f>
        <v>1671635.3021156259</v>
      </c>
    </row>
    <row r="35" spans="2:9" x14ac:dyDescent="0.2">
      <c r="B35" s="105" t="str">
        <f>'6.Cons Profit &amp; Loss'!A11</f>
        <v xml:space="preserve">Faclitiy 4 - Custom Hiring </v>
      </c>
      <c r="C35" s="91">
        <f>'6.Cons Profit &amp; Loss'!B11</f>
        <v>0</v>
      </c>
      <c r="D35" s="91">
        <f>'6.Cons Profit &amp; Loss'!C11</f>
        <v>0</v>
      </c>
      <c r="E35" s="91">
        <f>'6.Cons Profit &amp; Loss'!D11</f>
        <v>0</v>
      </c>
      <c r="F35" s="91">
        <f>'6.Cons Profit &amp; Loss'!E11</f>
        <v>0</v>
      </c>
      <c r="G35" s="91">
        <f>'6.Cons Profit &amp; Loss'!F11</f>
        <v>0</v>
      </c>
      <c r="H35" s="91">
        <f>'6.Cons Profit &amp; Loss'!G11</f>
        <v>0</v>
      </c>
      <c r="I35" s="91">
        <f>'6.Cons Profit &amp; Loss'!H11</f>
        <v>0</v>
      </c>
    </row>
    <row r="36" spans="2:9" x14ac:dyDescent="0.2">
      <c r="B36" s="105" t="str">
        <f>'6.Cons Profit &amp; Loss'!A12</f>
        <v>Faclitiy 5 - Agri Input Centre</v>
      </c>
      <c r="C36" s="91">
        <f>'6.Cons Profit &amp; Loss'!B12</f>
        <v>266072172.7455</v>
      </c>
      <c r="D36" s="91">
        <f>'6.Cons Profit &amp; Loss'!C12</f>
        <v>317108460.94534695</v>
      </c>
      <c r="E36" s="91">
        <f>'6.Cons Profit &amp; Loss'!D12</f>
        <v>370000860.57837987</v>
      </c>
      <c r="F36" s="91">
        <f>'6.Cons Profit &amp; Loss'!E12</f>
        <v>427389729.02235281</v>
      </c>
      <c r="G36" s="91">
        <f>'6.Cons Profit &amp; Loss'!F12</f>
        <v>489592482.15927708</v>
      </c>
      <c r="H36" s="91">
        <f>'6.Cons Profit &amp; Loss'!G12</f>
        <v>556947036.28733802</v>
      </c>
      <c r="I36" s="91">
        <f>'6.Cons Profit &amp; Loss'!H12</f>
        <v>629813064.62280679</v>
      </c>
    </row>
    <row r="37" spans="2:9" x14ac:dyDescent="0.2">
      <c r="B37" s="105" t="str">
        <f>'6.Cons Profit &amp; Loss'!A13</f>
        <v>Facility 6 - Processing Unit - Horti Commodity</v>
      </c>
      <c r="C37" s="91">
        <f>'6.Cons Profit &amp; Loss'!B13</f>
        <v>0</v>
      </c>
      <c r="D37" s="91">
        <f>'6.Cons Profit &amp; Loss'!C13</f>
        <v>0</v>
      </c>
      <c r="E37" s="91">
        <f>'6.Cons Profit &amp; Loss'!D13</f>
        <v>0</v>
      </c>
      <c r="F37" s="91">
        <f>'6.Cons Profit &amp; Loss'!E13</f>
        <v>0</v>
      </c>
      <c r="G37" s="91">
        <f>'6.Cons Profit &amp; Loss'!F13</f>
        <v>0</v>
      </c>
      <c r="H37" s="91">
        <f>'6.Cons Profit &amp; Loss'!G13</f>
        <v>0</v>
      </c>
      <c r="I37" s="91">
        <f>'6.Cons Profit &amp; Loss'!H13</f>
        <v>0</v>
      </c>
    </row>
    <row r="38" spans="2:9" x14ac:dyDescent="0.2">
      <c r="B38" s="105"/>
      <c r="C38" s="105"/>
      <c r="D38" s="105"/>
      <c r="E38" s="105"/>
      <c r="F38" s="105"/>
      <c r="G38" s="105"/>
      <c r="H38" s="105"/>
      <c r="I38" s="105"/>
    </row>
    <row r="39" spans="2:9" x14ac:dyDescent="0.2">
      <c r="B39" s="90" t="s">
        <v>8</v>
      </c>
      <c r="C39" s="91">
        <f>SUM(C32:C38)</f>
        <v>367820735.47148001</v>
      </c>
      <c r="D39" s="91">
        <f t="shared" ref="D39:I39" si="4">SUM(D32:D38)</f>
        <v>462820992.68809175</v>
      </c>
      <c r="E39" s="91">
        <f t="shared" si="4"/>
        <v>561886490.60897493</v>
      </c>
      <c r="F39" s="91">
        <f t="shared" si="4"/>
        <v>669701485.84022641</v>
      </c>
      <c r="G39" s="91">
        <f t="shared" si="4"/>
        <v>785377041.8718307</v>
      </c>
      <c r="H39" s="91">
        <f t="shared" si="4"/>
        <v>914041520.72183871</v>
      </c>
      <c r="I39" s="91">
        <f t="shared" si="4"/>
        <v>1033856203.1082797</v>
      </c>
    </row>
    <row r="40" spans="2:9" x14ac:dyDescent="0.2">
      <c r="B40" s="90"/>
      <c r="C40" s="91"/>
      <c r="D40" s="91"/>
      <c r="E40" s="91"/>
      <c r="F40" s="91"/>
      <c r="G40" s="91"/>
      <c r="H40" s="91"/>
      <c r="I40" s="91"/>
    </row>
    <row r="41" spans="2:9" x14ac:dyDescent="0.2">
      <c r="B41" s="90" t="s">
        <v>38</v>
      </c>
      <c r="C41" s="91">
        <f>'6.Cons Profit &amp; Loss'!B25</f>
        <v>362390716.7764312</v>
      </c>
      <c r="D41" s="91">
        <f>'6.Cons Profit &amp; Loss'!C25</f>
        <v>455379515.17551458</v>
      </c>
      <c r="E41" s="91">
        <f>'6.Cons Profit &amp; Loss'!D25</f>
        <v>552430861.47223258</v>
      </c>
      <c r="F41" s="91">
        <f>'6.Cons Profit &amp; Loss'!E25</f>
        <v>658046023.44939125</v>
      </c>
      <c r="G41" s="91">
        <f>'6.Cons Profit &amp; Loss'!F25</f>
        <v>772844638.13994229</v>
      </c>
      <c r="H41" s="91">
        <f>'6.Cons Profit &amp; Loss'!G25</f>
        <v>897474834.88810003</v>
      </c>
      <c r="I41" s="91">
        <f>'6.Cons Profit &amp; Loss'!H25</f>
        <v>1012108462.0397091</v>
      </c>
    </row>
    <row r="42" spans="2:9" x14ac:dyDescent="0.2">
      <c r="B42" s="90"/>
      <c r="C42" s="91"/>
      <c r="D42" s="91"/>
      <c r="E42" s="91"/>
      <c r="F42" s="91"/>
      <c r="G42" s="91"/>
      <c r="H42" s="91"/>
      <c r="I42" s="91"/>
    </row>
    <row r="43" spans="2:9" x14ac:dyDescent="0.2">
      <c r="B43" s="92" t="s">
        <v>39</v>
      </c>
      <c r="C43" s="110">
        <f>C39-C41</f>
        <v>5430018.6950488091</v>
      </c>
      <c r="D43" s="110">
        <f t="shared" ref="D43:I43" si="5">D39-D41</f>
        <v>7441477.5125771761</v>
      </c>
      <c r="E43" s="110">
        <f t="shared" si="5"/>
        <v>9455629.1367423534</v>
      </c>
      <c r="F43" s="110">
        <f t="shared" si="5"/>
        <v>11655462.390835166</v>
      </c>
      <c r="G43" s="110">
        <f t="shared" si="5"/>
        <v>12532403.731888413</v>
      </c>
      <c r="H43" s="110">
        <f t="shared" si="5"/>
        <v>16566685.833738685</v>
      </c>
      <c r="I43" s="110">
        <f t="shared" si="5"/>
        <v>21747741.068570614</v>
      </c>
    </row>
    <row r="44" spans="2:9" x14ac:dyDescent="0.2">
      <c r="B44" s="90"/>
      <c r="C44" s="91"/>
      <c r="D44" s="91"/>
      <c r="E44" s="91"/>
      <c r="F44" s="91"/>
      <c r="G44" s="91"/>
      <c r="H44" s="91"/>
      <c r="I44" s="91"/>
    </row>
    <row r="45" spans="2:9" x14ac:dyDescent="0.2">
      <c r="B45" s="92" t="s">
        <v>41</v>
      </c>
      <c r="C45" s="110">
        <f>'6.Cons Profit &amp; Loss'!B36+'6.Cons Profit &amp; Loss'!B42+'6.Cons Profit &amp; Loss'!B43</f>
        <v>4510347.063902</v>
      </c>
      <c r="D45" s="110">
        <f>'6.Cons Profit &amp; Loss'!C36+'6.Cons Profit &amp; Loss'!C42+'6.Cons Profit &amp; Loss'!C43</f>
        <v>4790799.9639020003</v>
      </c>
      <c r="E45" s="110">
        <f>'6.Cons Profit &amp; Loss'!D36+'6.Cons Profit &amp; Loss'!D42+'6.Cons Profit &amp; Loss'!D43</f>
        <v>4969914.8019019999</v>
      </c>
      <c r="F45" s="110">
        <f>'6.Cons Profit &amp; Loss'!E36+'6.Cons Profit &amp; Loss'!E42+'6.Cons Profit &amp; Loss'!E43</f>
        <v>5158131.6394520001</v>
      </c>
      <c r="G45" s="110">
        <f>'6.Cons Profit &amp; Loss'!F36+'6.Cons Profit &amp; Loss'!F42+'6.Cons Profit &amp; Loss'!F43</f>
        <v>5394191.3894119998</v>
      </c>
      <c r="H45" s="110">
        <f>'6.Cons Profit &amp; Loss'!G36+'6.Cons Profit &amp; Loss'!G42+'6.Cons Profit &amp; Loss'!G43</f>
        <v>5414880.6456875009</v>
      </c>
      <c r="I45" s="110">
        <f>'6.Cons Profit &amp; Loss'!H36+'6.Cons Profit &amp; Loss'!H42+'6.Cons Profit &amp; Loss'!H43</f>
        <v>5618232.8647767762</v>
      </c>
    </row>
    <row r="46" spans="2:9" x14ac:dyDescent="0.2">
      <c r="B46" s="90"/>
      <c r="C46" s="90"/>
      <c r="D46" s="90"/>
      <c r="E46" s="90"/>
      <c r="F46" s="90"/>
      <c r="G46" s="90"/>
      <c r="H46" s="90"/>
      <c r="I46" s="90"/>
    </row>
    <row r="47" spans="2:9" x14ac:dyDescent="0.2">
      <c r="B47" s="90" t="s">
        <v>40</v>
      </c>
      <c r="C47" s="109">
        <f>C45/C43</f>
        <v>0.83063195859981431</v>
      </c>
      <c r="D47" s="109">
        <f>D45/D43</f>
        <v>0.64379687445199607</v>
      </c>
      <c r="E47" s="109">
        <f>E45/E43</f>
        <v>0.52560382075372214</v>
      </c>
      <c r="F47" s="109">
        <f>F45/F43</f>
        <v>0.4425505798472571</v>
      </c>
      <c r="G47" s="109">
        <f>G45/G43</f>
        <v>0.43041953521546739</v>
      </c>
      <c r="H47" s="109">
        <f t="shared" ref="H47:I47" si="6">H45/H43</f>
        <v>0.32685358435782558</v>
      </c>
      <c r="I47" s="109">
        <f t="shared" si="6"/>
        <v>0.25833638753848004</v>
      </c>
    </row>
    <row r="48" spans="2:9" x14ac:dyDescent="0.2">
      <c r="B48" s="89"/>
      <c r="C48" s="198"/>
      <c r="D48" s="89"/>
      <c r="E48" s="198"/>
      <c r="F48" s="89"/>
      <c r="G48" s="89"/>
      <c r="H48" s="89"/>
      <c r="I48" s="89"/>
    </row>
    <row r="49" spans="2:10" x14ac:dyDescent="0.2">
      <c r="B49" s="111" t="s">
        <v>133</v>
      </c>
      <c r="C49" s="112">
        <f>AVERAGE(C47:I47)</f>
        <v>0.49402753439493746</v>
      </c>
      <c r="D49" s="89"/>
      <c r="E49" s="89"/>
      <c r="F49" s="89"/>
      <c r="G49" s="89"/>
      <c r="H49" s="89"/>
      <c r="I49" s="89"/>
    </row>
    <row r="51" spans="2:10" ht="41.45" customHeight="1" x14ac:dyDescent="0.2">
      <c r="B51" s="490" t="s">
        <v>428</v>
      </c>
      <c r="C51" s="490"/>
      <c r="D51" s="490"/>
      <c r="E51" s="490"/>
      <c r="F51" s="490"/>
      <c r="G51" s="490"/>
      <c r="H51" s="490"/>
      <c r="I51" s="490"/>
      <c r="J51" s="490"/>
    </row>
    <row r="54" spans="2:10" ht="18" x14ac:dyDescent="0.2">
      <c r="B54" s="451" t="s">
        <v>565</v>
      </c>
      <c r="C54" s="451"/>
      <c r="D54" s="451"/>
      <c r="E54" s="451"/>
      <c r="F54" s="451"/>
      <c r="G54" s="451"/>
      <c r="H54" s="451"/>
      <c r="I54" s="451"/>
    </row>
    <row r="56" spans="2:10" x14ac:dyDescent="0.2">
      <c r="B56" s="77" t="s">
        <v>29</v>
      </c>
      <c r="C56" s="78" t="s">
        <v>2</v>
      </c>
      <c r="D56" s="78" t="s">
        <v>3</v>
      </c>
      <c r="E56" s="78" t="s">
        <v>4</v>
      </c>
      <c r="F56" s="78" t="s">
        <v>5</v>
      </c>
      <c r="G56" s="78" t="s">
        <v>6</v>
      </c>
      <c r="H56" s="78" t="s">
        <v>170</v>
      </c>
      <c r="I56" s="78" t="s">
        <v>169</v>
      </c>
    </row>
    <row r="57" spans="2:10" x14ac:dyDescent="0.2">
      <c r="B57" s="90"/>
      <c r="C57" s="90"/>
      <c r="D57" s="90"/>
      <c r="E57" s="90"/>
      <c r="F57" s="90"/>
      <c r="G57" s="90"/>
      <c r="H57" s="90"/>
      <c r="I57" s="90"/>
    </row>
    <row r="58" spans="2:10" x14ac:dyDescent="0.2">
      <c r="B58" s="90" t="s">
        <v>376</v>
      </c>
      <c r="C58" s="305">
        <f>'6.Cons Profit &amp; Loss'!B49</f>
        <v>-151634.88914491539</v>
      </c>
      <c r="D58" s="305">
        <f>'6.Cons Profit &amp; Loss'!C49</f>
        <v>1477618.605877474</v>
      </c>
      <c r="E58" s="305">
        <f>'6.Cons Profit &amp; Loss'!D49</f>
        <v>3314129.5932761501</v>
      </c>
      <c r="F58" s="305">
        <f>'6.Cons Profit &amp; Loss'!E49</f>
        <v>5331280.438544834</v>
      </c>
      <c r="G58" s="305">
        <f>'6.Cons Profit &amp; Loss'!F49</f>
        <v>5986349.5816277992</v>
      </c>
      <c r="H58" s="305">
        <f>'6.Cons Profit &amp; Loss'!G49</f>
        <v>10013796.785726102</v>
      </c>
      <c r="I58" s="305">
        <f>'6.Cons Profit &amp; Loss'!H49</f>
        <v>15048792.195119398</v>
      </c>
    </row>
    <row r="59" spans="2:10" x14ac:dyDescent="0.2">
      <c r="B59" s="90"/>
      <c r="C59" s="305"/>
      <c r="D59" s="305"/>
      <c r="E59" s="305"/>
      <c r="F59" s="305"/>
      <c r="G59" s="305"/>
      <c r="H59" s="305"/>
      <c r="I59" s="305"/>
    </row>
    <row r="60" spans="2:10" x14ac:dyDescent="0.2">
      <c r="B60" s="90" t="s">
        <v>42</v>
      </c>
      <c r="C60" s="305">
        <f>'6.Cons Profit &amp; Loss'!B42</f>
        <v>979881.25860200007</v>
      </c>
      <c r="D60" s="305">
        <f>'6.Cons Profit &amp; Loss'!C42</f>
        <v>979881.25860200007</v>
      </c>
      <c r="E60" s="305">
        <f>'6.Cons Profit &amp; Loss'!D42</f>
        <v>979881.25860200007</v>
      </c>
      <c r="F60" s="305">
        <f>'6.Cons Profit &amp; Loss'!E42</f>
        <v>979881.25860200007</v>
      </c>
      <c r="G60" s="305">
        <f>'6.Cons Profit &amp; Loss'!F42</f>
        <v>979881.25860200007</v>
      </c>
      <c r="H60" s="305">
        <f>'6.Cons Profit &amp; Loss'!G42</f>
        <v>979881.25860200007</v>
      </c>
      <c r="I60" s="305">
        <f>'6.Cons Profit &amp; Loss'!H42</f>
        <v>979881.25860200007</v>
      </c>
    </row>
    <row r="61" spans="2:10" x14ac:dyDescent="0.2">
      <c r="B61" s="104" t="s">
        <v>48</v>
      </c>
      <c r="C61" s="305">
        <f>'6.Cons Profit &amp; Loss'!B43</f>
        <v>195170</v>
      </c>
      <c r="D61" s="305">
        <f>'6.Cons Profit &amp; Loss'!C43</f>
        <v>195170</v>
      </c>
      <c r="E61" s="305">
        <f>'6.Cons Profit &amp; Loss'!D43</f>
        <v>195170</v>
      </c>
      <c r="F61" s="305">
        <f>'6.Cons Profit &amp; Loss'!E43</f>
        <v>195170</v>
      </c>
      <c r="G61" s="305">
        <f>'6.Cons Profit &amp; Loss'!F43</f>
        <v>195170</v>
      </c>
      <c r="H61" s="305">
        <f>'6.Cons Profit &amp; Loss'!G43</f>
        <v>0</v>
      </c>
      <c r="I61" s="305">
        <f>'6.Cons Profit &amp; Loss'!H43</f>
        <v>0</v>
      </c>
    </row>
    <row r="62" spans="2:10" x14ac:dyDescent="0.2">
      <c r="B62" s="90"/>
      <c r="C62" s="305"/>
      <c r="D62" s="305"/>
      <c r="E62" s="305"/>
      <c r="F62" s="305"/>
      <c r="G62" s="305"/>
      <c r="H62" s="305"/>
      <c r="I62" s="305"/>
    </row>
    <row r="63" spans="2:10" x14ac:dyDescent="0.2">
      <c r="B63" s="90" t="s">
        <v>32</v>
      </c>
      <c r="C63" s="305">
        <f>SUM(C58:C61)</f>
        <v>1023416.3694570847</v>
      </c>
      <c r="D63" s="305">
        <f t="shared" ref="D63:I63" si="7">SUM(D58:D61)</f>
        <v>2652669.8644794738</v>
      </c>
      <c r="E63" s="305">
        <f t="shared" si="7"/>
        <v>4489180.8518781504</v>
      </c>
      <c r="F63" s="305">
        <f t="shared" si="7"/>
        <v>6506331.6971468339</v>
      </c>
      <c r="G63" s="305">
        <f t="shared" si="7"/>
        <v>7161400.840229799</v>
      </c>
      <c r="H63" s="305">
        <f t="shared" si="7"/>
        <v>10993678.044328103</v>
      </c>
      <c r="I63" s="305">
        <f t="shared" si="7"/>
        <v>16028673.453721398</v>
      </c>
    </row>
    <row r="64" spans="2:10" x14ac:dyDescent="0.2">
      <c r="B64" s="90"/>
      <c r="C64" s="90"/>
      <c r="D64" s="90"/>
      <c r="E64" s="90"/>
      <c r="F64" s="90"/>
      <c r="G64" s="90"/>
      <c r="H64" s="90"/>
      <c r="I64" s="90"/>
    </row>
    <row r="65" spans="2:10" ht="16.5" x14ac:dyDescent="0.2">
      <c r="B65" s="10" t="s">
        <v>43</v>
      </c>
      <c r="C65" s="105">
        <f>1/1.1</f>
        <v>0.90909090909090906</v>
      </c>
      <c r="D65" s="105">
        <f t="shared" ref="D65:I65" si="8">C65/1.1</f>
        <v>0.82644628099173545</v>
      </c>
      <c r="E65" s="105">
        <f t="shared" si="8"/>
        <v>0.75131480090157765</v>
      </c>
      <c r="F65" s="105">
        <f t="shared" si="8"/>
        <v>0.68301345536507052</v>
      </c>
      <c r="G65" s="105">
        <f t="shared" si="8"/>
        <v>0.62092132305915493</v>
      </c>
      <c r="H65" s="105">
        <f t="shared" si="8"/>
        <v>0.56447393005377711</v>
      </c>
      <c r="I65" s="105">
        <f t="shared" si="8"/>
        <v>0.51315811823070645</v>
      </c>
    </row>
    <row r="66" spans="2:10" x14ac:dyDescent="0.2">
      <c r="B66" s="90"/>
      <c r="C66" s="90"/>
      <c r="D66" s="90"/>
      <c r="E66" s="90"/>
      <c r="F66" s="90"/>
      <c r="G66" s="90"/>
      <c r="H66" s="90"/>
      <c r="I66" s="90"/>
    </row>
    <row r="67" spans="2:10" ht="16.5" x14ac:dyDescent="0.2">
      <c r="B67" s="10" t="s">
        <v>44</v>
      </c>
      <c r="C67" s="91">
        <f>C63*C65</f>
        <v>930378.51768825878</v>
      </c>
      <c r="D67" s="91">
        <f t="shared" ref="D67:I67" si="9">D63*D65</f>
        <v>2192289.144197912</v>
      </c>
      <c r="E67" s="91">
        <f t="shared" si="9"/>
        <v>3372788.0179400072</v>
      </c>
      <c r="F67" s="91">
        <f t="shared" si="9"/>
        <v>4443912.0942195421</v>
      </c>
      <c r="G67" s="91">
        <f t="shared" si="9"/>
        <v>4446666.4846724309</v>
      </c>
      <c r="H67" s="91">
        <f t="shared" si="9"/>
        <v>6205644.6514278064</v>
      </c>
      <c r="I67" s="91">
        <f t="shared" si="9"/>
        <v>8225243.907246151</v>
      </c>
    </row>
    <row r="68" spans="2:10" x14ac:dyDescent="0.2">
      <c r="B68" s="89"/>
      <c r="C68" s="107"/>
      <c r="D68" s="107"/>
      <c r="E68" s="107"/>
      <c r="F68" s="107"/>
      <c r="G68" s="107"/>
      <c r="H68" s="107"/>
      <c r="I68" s="107"/>
    </row>
    <row r="69" spans="2:10" ht="16.5" x14ac:dyDescent="0.2">
      <c r="B69" s="11" t="s">
        <v>45</v>
      </c>
      <c r="C69" s="107">
        <f>SUM(C67:I67)</f>
        <v>29816922.817392107</v>
      </c>
      <c r="D69" s="107"/>
      <c r="E69" s="107"/>
      <c r="F69" s="107"/>
      <c r="G69" s="107"/>
      <c r="H69" s="107"/>
      <c r="I69" s="107"/>
    </row>
    <row r="70" spans="2:10" x14ac:dyDescent="0.2">
      <c r="B70" s="89"/>
      <c r="C70" s="107"/>
      <c r="D70" s="107"/>
      <c r="E70" s="107"/>
      <c r="F70" s="107"/>
      <c r="G70" s="107"/>
      <c r="H70" s="107"/>
      <c r="I70" s="107"/>
    </row>
    <row r="71" spans="2:10" ht="16.5" x14ac:dyDescent="0.2">
      <c r="B71" s="11" t="s">
        <v>46</v>
      </c>
      <c r="C71" s="107">
        <f>-C15</f>
        <v>27225870.417019196</v>
      </c>
      <c r="D71" s="107"/>
      <c r="E71" s="107"/>
      <c r="F71" s="107"/>
      <c r="G71" s="107"/>
      <c r="H71" s="107"/>
      <c r="I71" s="107"/>
    </row>
    <row r="72" spans="2:10" x14ac:dyDescent="0.2">
      <c r="B72" s="89"/>
      <c r="C72" s="106"/>
      <c r="D72" s="89"/>
      <c r="E72" s="89"/>
      <c r="F72" s="89"/>
      <c r="G72" s="89"/>
      <c r="H72" s="89"/>
      <c r="I72" s="89"/>
    </row>
    <row r="73" spans="2:10" ht="16.5" x14ac:dyDescent="0.2">
      <c r="B73" s="11" t="s">
        <v>47</v>
      </c>
      <c r="C73" s="106">
        <f>C69-C71</f>
        <v>2591052.4003729112</v>
      </c>
      <c r="D73" s="89"/>
      <c r="E73" s="89"/>
      <c r="F73" s="89"/>
      <c r="G73" s="89"/>
      <c r="H73" s="89"/>
      <c r="I73" s="89"/>
    </row>
    <row r="75" spans="2:10" ht="35.1" customHeight="1" x14ac:dyDescent="0.2">
      <c r="B75" s="459" t="s">
        <v>429</v>
      </c>
      <c r="C75" s="459"/>
      <c r="D75" s="459"/>
      <c r="E75" s="459"/>
      <c r="F75" s="459"/>
      <c r="G75" s="459"/>
      <c r="H75" s="459"/>
      <c r="I75" s="459"/>
      <c r="J75" s="459"/>
    </row>
    <row r="76" spans="2:10" ht="18" x14ac:dyDescent="0.2">
      <c r="B76" s="451" t="s">
        <v>566</v>
      </c>
      <c r="C76" s="451"/>
      <c r="D76" s="451"/>
      <c r="E76" s="451"/>
      <c r="F76" s="451"/>
      <c r="G76" s="451"/>
      <c r="H76" s="451"/>
      <c r="I76" s="451"/>
    </row>
    <row r="77" spans="2:10" x14ac:dyDescent="0.2">
      <c r="B77" s="89"/>
      <c r="C77" s="89"/>
      <c r="D77" s="89"/>
      <c r="E77" s="89"/>
      <c r="F77" s="89"/>
      <c r="G77" s="89"/>
      <c r="H77" s="89"/>
      <c r="I77" s="89"/>
    </row>
    <row r="78" spans="2:10" x14ac:dyDescent="0.2">
      <c r="B78" s="67" t="s">
        <v>0</v>
      </c>
      <c r="C78" s="67" t="s">
        <v>2</v>
      </c>
      <c r="D78" s="67" t="s">
        <v>3</v>
      </c>
      <c r="E78" s="67" t="s">
        <v>4</v>
      </c>
      <c r="F78" s="67" t="s">
        <v>5</v>
      </c>
      <c r="G78" s="67" t="s">
        <v>6</v>
      </c>
      <c r="H78" s="67" t="s">
        <v>170</v>
      </c>
      <c r="I78" s="67" t="s">
        <v>169</v>
      </c>
    </row>
    <row r="79" spans="2:10" x14ac:dyDescent="0.2">
      <c r="B79" s="64"/>
      <c r="C79" s="65"/>
      <c r="D79" s="65"/>
      <c r="E79" s="65"/>
      <c r="F79" s="65"/>
      <c r="G79" s="65"/>
      <c r="H79" s="65"/>
      <c r="I79" s="65"/>
    </row>
    <row r="80" spans="2:10" x14ac:dyDescent="0.2">
      <c r="B80" s="92" t="s">
        <v>27</v>
      </c>
      <c r="C80" s="91">
        <f>'6.Cons Profit &amp; Loss'!B51</f>
        <v>-151634.88914491539</v>
      </c>
      <c r="D80" s="91">
        <f>'6.Cons Profit &amp; Loss'!C51</f>
        <v>1196870.605877474</v>
      </c>
      <c r="E80" s="91">
        <f>'6.Cons Profit &amp; Loss'!D51</f>
        <v>2684444.5932761501</v>
      </c>
      <c r="F80" s="91">
        <f>'6.Cons Profit &amp; Loss'!E51</f>
        <v>4186497.6999816475</v>
      </c>
      <c r="G80" s="91">
        <f>'6.Cons Profit &amp; Loss'!F51</f>
        <v>4613297.8767233547</v>
      </c>
      <c r="H80" s="91">
        <f>'6.Cons Profit &amp; Loss'!G51</f>
        <v>7542992.4499929082</v>
      </c>
      <c r="I80" s="91">
        <f>'6.Cons Profit &amp; Loss'!H51</f>
        <v>11224527.464097425</v>
      </c>
    </row>
    <row r="81" spans="2:10" x14ac:dyDescent="0.2">
      <c r="B81" s="90"/>
      <c r="C81" s="90"/>
      <c r="D81" s="90"/>
      <c r="E81" s="90"/>
      <c r="F81" s="90"/>
      <c r="G81" s="90"/>
      <c r="H81" s="90"/>
      <c r="I81" s="90"/>
    </row>
    <row r="82" spans="2:10" x14ac:dyDescent="0.2">
      <c r="B82" s="92" t="s">
        <v>124</v>
      </c>
      <c r="C82" s="498">
        <f>AVERAGE(C80:I80)</f>
        <v>4470999.4001148632</v>
      </c>
      <c r="D82" s="498"/>
      <c r="E82" s="498"/>
      <c r="F82" s="498"/>
      <c r="G82" s="498"/>
      <c r="H82" s="498"/>
      <c r="I82" s="498"/>
    </row>
    <row r="83" spans="2:10" x14ac:dyDescent="0.2">
      <c r="B83" s="92" t="s">
        <v>705</v>
      </c>
      <c r="C83" s="498">
        <f>'1.Project Cost and MOF'!E23</f>
        <v>27225870.417019196</v>
      </c>
      <c r="D83" s="498"/>
      <c r="E83" s="498"/>
      <c r="F83" s="498"/>
      <c r="G83" s="498"/>
      <c r="H83" s="498"/>
      <c r="I83" s="498"/>
    </row>
    <row r="84" spans="2:10" x14ac:dyDescent="0.2">
      <c r="B84" s="90"/>
      <c r="C84" s="90"/>
      <c r="D84" s="90"/>
      <c r="E84" s="90"/>
      <c r="F84" s="90"/>
      <c r="G84" s="90"/>
      <c r="H84" s="90"/>
      <c r="I84" s="90"/>
    </row>
    <row r="85" spans="2:10" x14ac:dyDescent="0.2">
      <c r="B85" s="240" t="s">
        <v>125</v>
      </c>
      <c r="C85" s="499">
        <f>C82/C83</f>
        <v>0.16421878645686902</v>
      </c>
      <c r="D85" s="499"/>
      <c r="E85" s="499"/>
      <c r="F85" s="499"/>
      <c r="G85" s="499"/>
      <c r="H85" s="499"/>
      <c r="I85" s="499"/>
    </row>
    <row r="88" spans="2:10" x14ac:dyDescent="0.2">
      <c r="B88" s="497" t="s">
        <v>430</v>
      </c>
      <c r="C88" s="497"/>
      <c r="D88" s="497"/>
      <c r="E88" s="497"/>
      <c r="F88" s="497"/>
      <c r="G88" s="497"/>
      <c r="H88" s="497"/>
      <c r="I88" s="497"/>
    </row>
    <row r="90" spans="2:10" ht="18" x14ac:dyDescent="0.2">
      <c r="B90" s="451" t="s">
        <v>567</v>
      </c>
      <c r="C90" s="451"/>
      <c r="D90" s="451"/>
      <c r="E90" s="451"/>
      <c r="F90" s="451"/>
      <c r="G90" s="451"/>
      <c r="H90" s="451"/>
      <c r="I90" s="451"/>
      <c r="J90" s="451"/>
    </row>
    <row r="92" spans="2:10" x14ac:dyDescent="0.2">
      <c r="B92" s="99" t="s">
        <v>0</v>
      </c>
      <c r="C92" s="99" t="s">
        <v>339</v>
      </c>
      <c r="D92" s="99" t="s">
        <v>2</v>
      </c>
      <c r="E92" s="99" t="s">
        <v>3</v>
      </c>
      <c r="F92" s="99" t="s">
        <v>4</v>
      </c>
      <c r="G92" s="99" t="s">
        <v>5</v>
      </c>
      <c r="H92" s="99" t="s">
        <v>6</v>
      </c>
      <c r="I92" s="99" t="s">
        <v>170</v>
      </c>
      <c r="J92" s="99" t="s">
        <v>169</v>
      </c>
    </row>
    <row r="93" spans="2:10" x14ac:dyDescent="0.2">
      <c r="B93" s="100"/>
      <c r="C93" s="100"/>
      <c r="D93" s="101"/>
      <c r="E93" s="101"/>
      <c r="F93" s="101"/>
      <c r="G93" s="101"/>
      <c r="H93" s="101"/>
      <c r="I93" s="101"/>
      <c r="J93" s="101"/>
    </row>
    <row r="94" spans="2:10" x14ac:dyDescent="0.2">
      <c r="B94" s="22" t="s">
        <v>283</v>
      </c>
      <c r="C94" s="102">
        <f>'1.Project Cost and MOF'!D12-'1.Project Cost and MOF'!E20</f>
        <v>11903405.781019194</v>
      </c>
      <c r="D94" s="101"/>
      <c r="E94" s="101"/>
      <c r="F94" s="101"/>
      <c r="G94" s="101"/>
      <c r="H94" s="101"/>
      <c r="I94" s="101"/>
      <c r="J94" s="101"/>
    </row>
    <row r="95" spans="2:10" x14ac:dyDescent="0.2">
      <c r="B95" s="23" t="str">
        <f>B58</f>
        <v>Profit after Tax &amp; Dividend</v>
      </c>
      <c r="C95" s="23"/>
      <c r="D95" s="24">
        <f>'6.Cons Profit &amp; Loss'!B51</f>
        <v>-151634.88914491539</v>
      </c>
      <c r="E95" s="24">
        <f>'6.Cons Profit &amp; Loss'!C51</f>
        <v>1196870.605877474</v>
      </c>
      <c r="F95" s="24">
        <f>'6.Cons Profit &amp; Loss'!D51</f>
        <v>2684444.5932761501</v>
      </c>
      <c r="G95" s="24">
        <f>'6.Cons Profit &amp; Loss'!E51</f>
        <v>4186497.6999816475</v>
      </c>
      <c r="H95" s="24">
        <f>'6.Cons Profit &amp; Loss'!F51</f>
        <v>4613297.8767233547</v>
      </c>
      <c r="I95" s="24">
        <f>'6.Cons Profit &amp; Loss'!G51</f>
        <v>7542992.4499929082</v>
      </c>
      <c r="J95" s="24">
        <f>'6.Cons Profit &amp; Loss'!H51</f>
        <v>11224527.464097425</v>
      </c>
    </row>
    <row r="96" spans="2:10" x14ac:dyDescent="0.2">
      <c r="B96" s="23" t="str">
        <f>B60</f>
        <v>Add: Deprication</v>
      </c>
      <c r="C96" s="23"/>
      <c r="D96" s="87">
        <f>'6.Cons Profit &amp; Loss'!B42</f>
        <v>979881.25860200007</v>
      </c>
      <c r="E96" s="87">
        <f>'6.Cons Profit &amp; Loss'!C42</f>
        <v>979881.25860200007</v>
      </c>
      <c r="F96" s="87">
        <f>'6.Cons Profit &amp; Loss'!D42</f>
        <v>979881.25860200007</v>
      </c>
      <c r="G96" s="87">
        <f>'6.Cons Profit &amp; Loss'!E42</f>
        <v>979881.25860200007</v>
      </c>
      <c r="H96" s="87">
        <f>'6.Cons Profit &amp; Loss'!F42</f>
        <v>979881.25860200007</v>
      </c>
      <c r="I96" s="87">
        <f>'6.Cons Profit &amp; Loss'!G42</f>
        <v>979881.25860200007</v>
      </c>
      <c r="J96" s="87">
        <f>'6.Cons Profit &amp; Loss'!H42</f>
        <v>979881.25860200007</v>
      </c>
    </row>
    <row r="97" spans="2:10" x14ac:dyDescent="0.2">
      <c r="B97" s="23" t="str">
        <f>B61</f>
        <v>Add. Preliminary exp Written off</v>
      </c>
      <c r="C97" s="23"/>
      <c r="D97" s="87">
        <f>'6.Cons Profit &amp; Loss'!B43</f>
        <v>195170</v>
      </c>
      <c r="E97" s="87">
        <f>'6.Cons Profit &amp; Loss'!C43</f>
        <v>195170</v>
      </c>
      <c r="F97" s="87">
        <f>'6.Cons Profit &amp; Loss'!D43</f>
        <v>195170</v>
      </c>
      <c r="G97" s="87">
        <f>'6.Cons Profit &amp; Loss'!E43</f>
        <v>195170</v>
      </c>
      <c r="H97" s="87">
        <f>'6.Cons Profit &amp; Loss'!F43</f>
        <v>195170</v>
      </c>
      <c r="I97" s="87">
        <f>'6.Cons Profit &amp; Loss'!G43</f>
        <v>0</v>
      </c>
      <c r="J97" s="87">
        <f>'6.Cons Profit &amp; Loss'!H43</f>
        <v>0</v>
      </c>
    </row>
    <row r="98" spans="2:10" x14ac:dyDescent="0.2">
      <c r="B98" s="23" t="str">
        <f>B63</f>
        <v xml:space="preserve">Net Cash Accrual (A)      </v>
      </c>
      <c r="C98" s="23"/>
      <c r="D98" s="239">
        <f>SUM(D95:D97)</f>
        <v>1023416.3694570847</v>
      </c>
      <c r="E98" s="239">
        <f t="shared" ref="E98:J98" si="10">SUM(E95:E97)</f>
        <v>2371921.8644794738</v>
      </c>
      <c r="F98" s="239">
        <f t="shared" si="10"/>
        <v>3859495.8518781504</v>
      </c>
      <c r="G98" s="239">
        <f t="shared" si="10"/>
        <v>5361548.9585836474</v>
      </c>
      <c r="H98" s="239">
        <f t="shared" si="10"/>
        <v>5788349.1353253545</v>
      </c>
      <c r="I98" s="239">
        <f t="shared" si="10"/>
        <v>8522873.7085949089</v>
      </c>
      <c r="J98" s="239">
        <f t="shared" si="10"/>
        <v>12204408.722699426</v>
      </c>
    </row>
    <row r="99" spans="2:10" x14ac:dyDescent="0.2">
      <c r="B99" s="22" t="s">
        <v>284</v>
      </c>
      <c r="C99" s="103"/>
      <c r="D99" s="66">
        <f>D98-C94</f>
        <v>-10879989.411562109</v>
      </c>
      <c r="E99" s="66">
        <f>D99+E98</f>
        <v>-8508067.5470826365</v>
      </c>
      <c r="F99" s="66">
        <f>E99+F98</f>
        <v>-4648571.6952044861</v>
      </c>
      <c r="G99" s="66">
        <f>F99+G98</f>
        <v>712977.26337916125</v>
      </c>
      <c r="H99" s="66">
        <f>G99+H98</f>
        <v>6501326.3987045158</v>
      </c>
      <c r="I99" s="88"/>
      <c r="J99" s="88"/>
    </row>
    <row r="100" spans="2:10" x14ac:dyDescent="0.2">
      <c r="B100" s="6"/>
      <c r="C100" s="6"/>
      <c r="D100" s="6"/>
      <c r="E100" s="6"/>
      <c r="F100" s="6"/>
      <c r="G100" s="6"/>
      <c r="H100" s="6"/>
      <c r="I100" s="6"/>
      <c r="J100" s="6"/>
    </row>
    <row r="101" spans="2:10" x14ac:dyDescent="0.2">
      <c r="B101" s="25" t="s">
        <v>285</v>
      </c>
      <c r="C101" s="6"/>
      <c r="D101" s="59">
        <f>4+(-G99/H98)</f>
        <v>3.8768254563243296</v>
      </c>
      <c r="E101" s="6"/>
      <c r="F101" s="6"/>
      <c r="G101" s="6"/>
      <c r="H101" s="6"/>
      <c r="I101" s="6"/>
      <c r="J101" s="6"/>
    </row>
    <row r="102" spans="2:10" x14ac:dyDescent="0.2">
      <c r="B102" s="6"/>
      <c r="C102" s="6"/>
      <c r="D102" s="6"/>
      <c r="E102" s="6"/>
      <c r="F102" s="6"/>
      <c r="G102" s="6"/>
      <c r="H102" s="6"/>
      <c r="I102" s="6"/>
      <c r="J102" s="6"/>
    </row>
    <row r="103" spans="2:10" x14ac:dyDescent="0.2">
      <c r="B103" s="497" t="s">
        <v>431</v>
      </c>
      <c r="C103" s="497"/>
      <c r="D103" s="497"/>
      <c r="E103" s="497"/>
      <c r="F103" s="497"/>
      <c r="G103" s="497"/>
      <c r="H103" s="497"/>
      <c r="I103" s="497"/>
      <c r="J103" s="497"/>
    </row>
    <row r="105" spans="2:10" ht="18" x14ac:dyDescent="0.2">
      <c r="B105" s="451" t="s">
        <v>568</v>
      </c>
      <c r="C105" s="451"/>
      <c r="D105" s="451"/>
      <c r="E105" s="451"/>
      <c r="F105" s="451"/>
      <c r="G105" s="451"/>
      <c r="H105" s="451"/>
      <c r="I105" s="451"/>
    </row>
    <row r="107" spans="2:10" x14ac:dyDescent="0.2">
      <c r="B107" s="67" t="s">
        <v>0</v>
      </c>
      <c r="C107" s="67" t="s">
        <v>2</v>
      </c>
      <c r="D107" s="67" t="s">
        <v>3</v>
      </c>
      <c r="E107" s="67" t="s">
        <v>4</v>
      </c>
      <c r="F107" s="67" t="s">
        <v>5</v>
      </c>
      <c r="G107" s="67" t="s">
        <v>6</v>
      </c>
      <c r="H107" s="67" t="s">
        <v>170</v>
      </c>
      <c r="I107" s="67" t="s">
        <v>169</v>
      </c>
    </row>
    <row r="108" spans="2:10" x14ac:dyDescent="0.2">
      <c r="B108" s="64"/>
      <c r="C108" s="65"/>
      <c r="D108" s="65"/>
      <c r="E108" s="65"/>
      <c r="F108" s="65"/>
      <c r="G108" s="65"/>
      <c r="H108" s="65"/>
      <c r="I108" s="65"/>
    </row>
    <row r="109" spans="2:10" x14ac:dyDescent="0.2">
      <c r="B109" s="90" t="s">
        <v>342</v>
      </c>
      <c r="C109" s="91">
        <f>'6.Cons Profit &amp; Loss'!B51</f>
        <v>-151634.88914491539</v>
      </c>
      <c r="D109" s="91">
        <f>'6.Cons Profit &amp; Loss'!C51</f>
        <v>1196870.605877474</v>
      </c>
      <c r="E109" s="91">
        <f>'6.Cons Profit &amp; Loss'!D51</f>
        <v>2684444.5932761501</v>
      </c>
      <c r="F109" s="91">
        <f>'6.Cons Profit &amp; Loss'!E51</f>
        <v>4186497.6999816475</v>
      </c>
      <c r="G109" s="91">
        <f>'6.Cons Profit &amp; Loss'!F51</f>
        <v>4613297.8767233547</v>
      </c>
      <c r="H109" s="91">
        <f>'6.Cons Profit &amp; Loss'!G51</f>
        <v>7542992.4499929082</v>
      </c>
      <c r="I109" s="91">
        <f>'6.Cons Profit &amp; Loss'!H51</f>
        <v>11224527.464097425</v>
      </c>
    </row>
    <row r="110" spans="2:10" x14ac:dyDescent="0.2">
      <c r="B110" s="90"/>
      <c r="C110" s="91"/>
      <c r="D110" s="91"/>
      <c r="E110" s="91"/>
      <c r="F110" s="91"/>
      <c r="G110" s="91"/>
      <c r="H110" s="91"/>
      <c r="I110" s="91"/>
    </row>
    <row r="111" spans="2:10" x14ac:dyDescent="0.2">
      <c r="B111" s="90"/>
      <c r="C111" s="91"/>
      <c r="D111" s="91"/>
      <c r="E111" s="91"/>
      <c r="F111" s="91"/>
      <c r="G111" s="91"/>
      <c r="H111" s="91"/>
      <c r="I111" s="91"/>
    </row>
    <row r="112" spans="2:10" x14ac:dyDescent="0.2">
      <c r="B112" s="90"/>
      <c r="C112" s="91"/>
      <c r="D112" s="91"/>
      <c r="E112" s="91"/>
      <c r="F112" s="91"/>
      <c r="G112" s="91"/>
      <c r="H112" s="91"/>
      <c r="I112" s="91"/>
    </row>
    <row r="113" spans="2:18" x14ac:dyDescent="0.2">
      <c r="B113" s="92" t="s">
        <v>1</v>
      </c>
      <c r="C113" s="93">
        <f>SUM(C109:C112)</f>
        <v>-151634.88914491539</v>
      </c>
      <c r="D113" s="93">
        <f t="shared" ref="D113:I113" si="11">SUM(D109:D112)</f>
        <v>1196870.605877474</v>
      </c>
      <c r="E113" s="93">
        <f t="shared" si="11"/>
        <v>2684444.5932761501</v>
      </c>
      <c r="F113" s="93">
        <f t="shared" si="11"/>
        <v>4186497.6999816475</v>
      </c>
      <c r="G113" s="93">
        <f t="shared" si="11"/>
        <v>4613297.8767233547</v>
      </c>
      <c r="H113" s="93">
        <f t="shared" si="11"/>
        <v>7542992.4499929082</v>
      </c>
      <c r="I113" s="93">
        <f t="shared" si="11"/>
        <v>11224527.464097425</v>
      </c>
    </row>
    <row r="114" spans="2:18" x14ac:dyDescent="0.2">
      <c r="B114" s="90"/>
      <c r="C114" s="90"/>
      <c r="D114" s="90"/>
      <c r="E114" s="90"/>
      <c r="F114" s="90"/>
      <c r="G114" s="90"/>
      <c r="H114" s="90"/>
      <c r="I114" s="90"/>
    </row>
    <row r="115" spans="2:18" x14ac:dyDescent="0.2">
      <c r="B115" s="94" t="s">
        <v>286</v>
      </c>
      <c r="C115" s="95">
        <f>'8.Cash Flow '!C25+'8.Cash Flow '!C26</f>
        <v>919347.87815999973</v>
      </c>
      <c r="D115" s="95">
        <f>'8.Cash Flow '!D25+'8.Cash Flow '!D26</f>
        <v>1797342.7994975906</v>
      </c>
      <c r="E115" s="95">
        <f>'8.Cash Flow '!E25+'8.Cash Flow '!E26</f>
        <v>1797342.7994975909</v>
      </c>
      <c r="F115" s="95">
        <f>'8.Cash Flow '!F25+'8.Cash Flow '!F26</f>
        <v>1797342.7994975904</v>
      </c>
      <c r="G115" s="95">
        <f>'8.Cash Flow '!G25+'8.Cash Flow '!G26</f>
        <v>1797342.7994975906</v>
      </c>
      <c r="H115" s="95">
        <f>'8.Cash Flow '!H25+'8.Cash Flow '!H26</f>
        <v>1797342.7994975909</v>
      </c>
      <c r="I115" s="95">
        <f>'8.Cash Flow '!I25+'8.Cash Flow '!I26</f>
        <v>1797342.7994975906</v>
      </c>
    </row>
    <row r="116" spans="2:18" x14ac:dyDescent="0.2">
      <c r="B116" s="90"/>
      <c r="C116" s="90"/>
      <c r="D116" s="90"/>
      <c r="E116" s="90"/>
      <c r="F116" s="90"/>
      <c r="G116" s="90"/>
      <c r="H116" s="90"/>
      <c r="I116" s="90"/>
    </row>
    <row r="117" spans="2:18" x14ac:dyDescent="0.2">
      <c r="B117" s="96" t="s">
        <v>340</v>
      </c>
      <c r="C117" s="97">
        <f>C113/C115</f>
        <v>-0.16493744397213417</v>
      </c>
      <c r="D117" s="97">
        <f t="shared" ref="D117:I117" si="12">D113/D115</f>
        <v>0.66591114739605262</v>
      </c>
      <c r="E117" s="97">
        <f t="shared" si="12"/>
        <v>1.4935629385927547</v>
      </c>
      <c r="F117" s="97">
        <f t="shared" si="12"/>
        <v>2.3292705771831037</v>
      </c>
      <c r="G117" s="97">
        <f t="shared" si="12"/>
        <v>2.5667323328710054</v>
      </c>
      <c r="H117" s="97">
        <f t="shared" si="12"/>
        <v>4.1967466930078068</v>
      </c>
      <c r="I117" s="97">
        <f t="shared" si="12"/>
        <v>6.2450677006272848</v>
      </c>
    </row>
    <row r="118" spans="2:18" x14ac:dyDescent="0.2">
      <c r="B118" s="89"/>
      <c r="C118" s="89"/>
      <c r="D118" s="89"/>
      <c r="E118" s="89"/>
      <c r="F118" s="89"/>
      <c r="G118" s="89"/>
      <c r="H118" s="89"/>
      <c r="I118" s="89"/>
    </row>
    <row r="119" spans="2:18" x14ac:dyDescent="0.2">
      <c r="B119" s="89" t="s">
        <v>341</v>
      </c>
      <c r="C119" s="98">
        <f>AVERAGE(C117:I117)</f>
        <v>2.4760505636722678</v>
      </c>
      <c r="D119" s="89"/>
      <c r="E119" s="89"/>
      <c r="F119" s="89"/>
      <c r="G119" s="89"/>
      <c r="H119" s="89"/>
      <c r="I119" s="89"/>
    </row>
    <row r="121" spans="2:18" ht="29.45" customHeight="1" x14ac:dyDescent="0.2">
      <c r="B121" s="459" t="s">
        <v>432</v>
      </c>
      <c r="C121" s="459"/>
      <c r="D121" s="459"/>
      <c r="E121" s="459"/>
      <c r="F121" s="459"/>
      <c r="G121" s="459"/>
      <c r="H121" s="459"/>
      <c r="I121" s="459"/>
      <c r="J121" s="459"/>
    </row>
    <row r="123" spans="2:18" ht="21" x14ac:dyDescent="0.3">
      <c r="B123" s="492" t="s">
        <v>569</v>
      </c>
      <c r="C123" s="493"/>
      <c r="D123" s="493"/>
      <c r="E123" s="493"/>
      <c r="F123" s="493"/>
      <c r="G123" s="493"/>
      <c r="H123" s="493"/>
      <c r="I123" s="493"/>
      <c r="K123" s="494"/>
      <c r="L123" s="494"/>
      <c r="M123" s="494"/>
      <c r="N123" s="494"/>
      <c r="O123" s="494"/>
      <c r="P123" s="494"/>
      <c r="Q123" s="494"/>
      <c r="R123" s="494"/>
    </row>
    <row r="124" spans="2:18" x14ac:dyDescent="0.2">
      <c r="B124" s="77" t="s">
        <v>352</v>
      </c>
      <c r="C124" s="78" t="s">
        <v>2</v>
      </c>
      <c r="D124" s="78" t="s">
        <v>3</v>
      </c>
      <c r="E124" s="78" t="s">
        <v>4</v>
      </c>
      <c r="F124" s="78" t="s">
        <v>5</v>
      </c>
      <c r="G124" s="78" t="s">
        <v>6</v>
      </c>
      <c r="H124" s="78" t="s">
        <v>170</v>
      </c>
      <c r="I124" s="78" t="s">
        <v>169</v>
      </c>
    </row>
    <row r="125" spans="2:18" x14ac:dyDescent="0.2">
      <c r="B125" s="69" t="str">
        <f>'6.Cons Profit &amp; Loss'!A8</f>
        <v>Faclitiy 1 - Cleaning &amp; Grading</v>
      </c>
      <c r="C125" s="302">
        <f>'6.Cons Profit &amp; Loss'!B8*(1+$M$126)</f>
        <v>68384261.857779011</v>
      </c>
      <c r="D125" s="302">
        <f>'6.Cons Profit &amp; Loss'!C8*(1+$M$126)</f>
        <v>91204406.664519519</v>
      </c>
      <c r="E125" s="302">
        <f>'6.Cons Profit &amp; Loss'!D8*(1+$M$126)</f>
        <v>114993680.70354424</v>
      </c>
      <c r="F125" s="302">
        <f>'6.Cons Profit &amp; Loss'!E8*(1+$M$126)</f>
        <v>140933871.12981015</v>
      </c>
      <c r="G125" s="302">
        <f>'6.Cons Profit &amp; Loss'!F8*(1+$M$126)</f>
        <v>169180596.3969439</v>
      </c>
      <c r="H125" s="302">
        <f>'6.Cons Profit &amp; Loss'!G8*(1+$M$126)</f>
        <v>199899659.51296639</v>
      </c>
      <c r="I125" s="302">
        <f>'6.Cons Profit &amp; Loss'!H8*(1+$M$126)</f>
        <v>216457402.18063596</v>
      </c>
    </row>
    <row r="126" spans="2:18" x14ac:dyDescent="0.2">
      <c r="B126" s="69" t="str">
        <f>'6.Cons Profit &amp; Loss'!A9</f>
        <v>Faclitiy 2 - Processing Unit- Dal Mill</v>
      </c>
      <c r="C126" s="302">
        <f>'6.Cons Profit &amp; Loss'!B9*(1+$M$126)</f>
        <v>37433019.004500009</v>
      </c>
      <c r="D126" s="302">
        <f>'6.Cons Profit &amp; Loss'!C9*(1+$M$126)</f>
        <v>60647702.915362522</v>
      </c>
      <c r="E126" s="302">
        <f>'6.Cons Profit &amp; Loss'!D9*(1+$M$126)</f>
        <v>85202656.228580639</v>
      </c>
      <c r="F126" s="302">
        <f>'6.Cons Profit &amp; Loss'!E9*(1+$M$126)</f>
        <v>112061485.61583216</v>
      </c>
      <c r="G126" s="302">
        <f>'6.Cons Profit &amp; Loss'!F9*(1+$M$126)</f>
        <v>141393191.30123743</v>
      </c>
      <c r="H126" s="302">
        <f>'6.Cons Profit &amp; Loss'!G9*(1+$M$126)</f>
        <v>173377913.84114364</v>
      </c>
      <c r="I126" s="302">
        <f>'6.Cons Profit &amp; Loss'!H9*(1+$M$126)</f>
        <v>206032676.16188926</v>
      </c>
      <c r="L126" s="4" t="s">
        <v>372</v>
      </c>
      <c r="M126" s="247">
        <v>0.05</v>
      </c>
    </row>
    <row r="127" spans="2:18" x14ac:dyDescent="0.2">
      <c r="B127" s="69" t="str">
        <f>'6.Cons Profit &amp; Loss'!A10</f>
        <v>Faclitiy 3 - Warehouse</v>
      </c>
      <c r="C127" s="302">
        <f>'6.Cons Profit &amp; Loss'!B10*(1+$M$126)</f>
        <v>1018709.9999999999</v>
      </c>
      <c r="D127" s="302">
        <f>'6.Cons Profit &amp; Loss'!C10*(1+$M$126)</f>
        <v>1146048.75</v>
      </c>
      <c r="E127" s="302">
        <f>'6.Cons Profit &amp; Loss'!D10*(1+$M$126)</f>
        <v>1283574.6000000001</v>
      </c>
      <c r="F127" s="302">
        <f>'6.Cons Profit &amp; Loss'!E10*(1+$M$126)</f>
        <v>1431987.9131250004</v>
      </c>
      <c r="G127" s="302">
        <f>'6.Cons Profit &amp; Loss'!F10*(1+$M$126)</f>
        <v>0</v>
      </c>
      <c r="H127" s="302">
        <f>'6.Cons Profit &amp; Loss'!G10*(1+$M$126)</f>
        <v>1671635.3021156257</v>
      </c>
      <c r="I127" s="302">
        <f>'6.Cons Profit &amp; Loss'!H10*(1+$M$126)</f>
        <v>1755217.0672214073</v>
      </c>
      <c r="L127" s="4" t="s">
        <v>373</v>
      </c>
      <c r="M127" s="247">
        <v>0.05</v>
      </c>
    </row>
    <row r="128" spans="2:18" x14ac:dyDescent="0.2">
      <c r="B128" s="69" t="str">
        <f>'6.Cons Profit &amp; Loss'!A11</f>
        <v xml:space="preserve">Faclitiy 4 - Custom Hiring </v>
      </c>
      <c r="C128" s="302">
        <f>'6.Cons Profit &amp; Loss'!B11*(1+$M$126)</f>
        <v>0</v>
      </c>
      <c r="D128" s="302">
        <f>'6.Cons Profit &amp; Loss'!C11*(1+$M$126)</f>
        <v>0</v>
      </c>
      <c r="E128" s="302">
        <f>'6.Cons Profit &amp; Loss'!D11*(1+$M$126)</f>
        <v>0</v>
      </c>
      <c r="F128" s="302">
        <f>'6.Cons Profit &amp; Loss'!E11*(1+$M$126)</f>
        <v>0</v>
      </c>
      <c r="G128" s="302">
        <f>'6.Cons Profit &amp; Loss'!F11*(1+$M$126)</f>
        <v>0</v>
      </c>
      <c r="H128" s="302">
        <f>'6.Cons Profit &amp; Loss'!G11*(1+$M$126)</f>
        <v>0</v>
      </c>
      <c r="I128" s="302">
        <f>'6.Cons Profit &amp; Loss'!H11*(1+$M$126)</f>
        <v>0</v>
      </c>
    </row>
    <row r="129" spans="2:9" x14ac:dyDescent="0.2">
      <c r="B129" s="69" t="str">
        <f>'6.Cons Profit &amp; Loss'!A12</f>
        <v>Faclitiy 5 - Agri Input Centre</v>
      </c>
      <c r="C129" s="302">
        <f>'6.Cons Profit &amp; Loss'!B12*(1+$M$126)</f>
        <v>279375781.38277501</v>
      </c>
      <c r="D129" s="302">
        <f>'6.Cons Profit &amp; Loss'!C12*(1+$M$126)</f>
        <v>332963883.99261433</v>
      </c>
      <c r="E129" s="302">
        <f>'6.Cons Profit &amp; Loss'!D12*(1+$M$126)</f>
        <v>388500903.60729885</v>
      </c>
      <c r="F129" s="302">
        <f>'6.Cons Profit &amp; Loss'!E12*(1+$M$126)</f>
        <v>448759215.47347045</v>
      </c>
      <c r="G129" s="302">
        <f>'6.Cons Profit &amp; Loss'!F12*(1+$M$126)</f>
        <v>514072106.26724094</v>
      </c>
      <c r="H129" s="302">
        <f>'6.Cons Profit &amp; Loss'!G12*(1+$M$126)</f>
        <v>584794388.10170496</v>
      </c>
      <c r="I129" s="302">
        <f>'6.Cons Profit &amp; Loss'!H12*(1+$M$126)</f>
        <v>661303717.85394716</v>
      </c>
    </row>
    <row r="130" spans="2:9" x14ac:dyDescent="0.2">
      <c r="B130" s="69" t="str">
        <f>'6.Cons Profit &amp; Loss'!A13</f>
        <v>Facility 6 - Processing Unit - Horti Commodity</v>
      </c>
      <c r="C130" s="302">
        <f>'6.Cons Profit &amp; Loss'!B13*(1+$M$126)</f>
        <v>0</v>
      </c>
      <c r="D130" s="302">
        <f>'6.Cons Profit &amp; Loss'!C13*(1+$M$126)</f>
        <v>0</v>
      </c>
      <c r="E130" s="302">
        <f>'6.Cons Profit &amp; Loss'!D13*(1+$M$126)</f>
        <v>0</v>
      </c>
      <c r="F130" s="302">
        <f>'6.Cons Profit &amp; Loss'!E13*(1+$M$126)</f>
        <v>0</v>
      </c>
      <c r="G130" s="302">
        <f>'6.Cons Profit &amp; Loss'!F13*(1+$M$126)</f>
        <v>0</v>
      </c>
      <c r="H130" s="302">
        <f>'6.Cons Profit &amp; Loss'!G13*(1+$M$126)</f>
        <v>0</v>
      </c>
      <c r="I130" s="302">
        <f>'6.Cons Profit &amp; Loss'!H13*(1+$M$126)</f>
        <v>0</v>
      </c>
    </row>
    <row r="131" spans="2:9" x14ac:dyDescent="0.2">
      <c r="B131" s="69">
        <f>'6.Cons Profit &amp; Loss'!A14</f>
        <v>0</v>
      </c>
      <c r="C131" s="302">
        <f>'6.Cons Profit &amp; Loss'!B14*(1+$M$126)</f>
        <v>0</v>
      </c>
      <c r="D131" s="302">
        <f>'6.Cons Profit &amp; Loss'!C14*(1+$M$126)</f>
        <v>0</v>
      </c>
      <c r="E131" s="302">
        <f>'6.Cons Profit &amp; Loss'!D14*(1+$M$126)</f>
        <v>0</v>
      </c>
      <c r="F131" s="302">
        <f>'6.Cons Profit &amp; Loss'!E14*(1+$M$126)</f>
        <v>0</v>
      </c>
      <c r="G131" s="302">
        <f>'6.Cons Profit &amp; Loss'!F14*(1+$M$126)</f>
        <v>0</v>
      </c>
      <c r="H131" s="302">
        <f>'6.Cons Profit &amp; Loss'!G14*(1+$M$126)</f>
        <v>0</v>
      </c>
      <c r="I131" s="302">
        <f>'6.Cons Profit &amp; Loss'!H14*(1+$M$126)</f>
        <v>0</v>
      </c>
    </row>
    <row r="132" spans="2:9" x14ac:dyDescent="0.2">
      <c r="B132" s="69" t="s">
        <v>353</v>
      </c>
      <c r="C132" s="302">
        <f>SUM(C125:C131)</f>
        <v>386211772.24505401</v>
      </c>
      <c r="D132" s="302">
        <f t="shared" ref="D132:I132" si="13">SUM(D125:D131)</f>
        <v>485962042.32249635</v>
      </c>
      <c r="E132" s="302">
        <f t="shared" si="13"/>
        <v>589980815.13942373</v>
      </c>
      <c r="F132" s="302">
        <f t="shared" si="13"/>
        <v>703186560.13223779</v>
      </c>
      <c r="G132" s="302">
        <f t="shared" si="13"/>
        <v>824645893.96542227</v>
      </c>
      <c r="H132" s="302">
        <f t="shared" si="13"/>
        <v>959743596.75793052</v>
      </c>
      <c r="I132" s="302">
        <f t="shared" si="13"/>
        <v>1085549013.2636938</v>
      </c>
    </row>
    <row r="133" spans="2:9" x14ac:dyDescent="0.2">
      <c r="B133" s="69" t="s">
        <v>354</v>
      </c>
      <c r="C133" s="302"/>
      <c r="D133" s="302"/>
      <c r="E133" s="302"/>
      <c r="F133" s="302"/>
      <c r="G133" s="302"/>
      <c r="H133" s="302"/>
      <c r="I133" s="302"/>
    </row>
    <row r="134" spans="2:9" x14ac:dyDescent="0.2">
      <c r="B134" s="69" t="s">
        <v>355</v>
      </c>
      <c r="C134" s="302">
        <f>'6.Cons Profit &amp; Loss'!B36</f>
        <v>3335295.8053000001</v>
      </c>
      <c r="D134" s="302">
        <f>'6.Cons Profit &amp; Loss'!C36</f>
        <v>3615748.7053</v>
      </c>
      <c r="E134" s="302">
        <f>'6.Cons Profit &amp; Loss'!D36</f>
        <v>3794863.5433</v>
      </c>
      <c r="F134" s="302">
        <f>'6.Cons Profit &amp; Loss'!E36</f>
        <v>3983080.3808500003</v>
      </c>
      <c r="G134" s="302">
        <f>'6.Cons Profit &amp; Loss'!F36</f>
        <v>4219140.13081</v>
      </c>
      <c r="H134" s="302">
        <f>'6.Cons Profit &amp; Loss'!G36</f>
        <v>4434999.3870855011</v>
      </c>
      <c r="I134" s="302">
        <f>'6.Cons Profit &amp; Loss'!H36</f>
        <v>4638351.6061747763</v>
      </c>
    </row>
    <row r="135" spans="2:9" x14ac:dyDescent="0.2">
      <c r="B135" s="69" t="s">
        <v>314</v>
      </c>
      <c r="C135" s="302">
        <f>'6.Cons Profit &amp; Loss'!B25*(1+M126)</f>
        <v>380510252.61525279</v>
      </c>
      <c r="D135" s="302">
        <f>'6.Cons Profit &amp; Loss'!C25*(1+N126)</f>
        <v>455379515.17551458</v>
      </c>
      <c r="E135" s="302">
        <f>'6.Cons Profit &amp; Loss'!D25*(1+O126)</f>
        <v>552430861.47223258</v>
      </c>
      <c r="F135" s="302">
        <f>'6.Cons Profit &amp; Loss'!E25*(1+P126)</f>
        <v>658046023.44939125</v>
      </c>
      <c r="G135" s="302">
        <f>'6.Cons Profit &amp; Loss'!F25*(1+Q126)</f>
        <v>772844638.13994229</v>
      </c>
      <c r="H135" s="302">
        <f>'6.Cons Profit &amp; Loss'!G25*(1+R126)</f>
        <v>897474834.88810003</v>
      </c>
      <c r="I135" s="302">
        <f>'6.Cons Profit &amp; Loss'!H25*(1+S126)</f>
        <v>1012108462.0397091</v>
      </c>
    </row>
    <row r="136" spans="2:9" x14ac:dyDescent="0.2">
      <c r="B136" s="69" t="s">
        <v>356</v>
      </c>
      <c r="C136" s="302">
        <f t="shared" ref="C136:I136" si="14">SUM(C134:C135)</f>
        <v>383845548.42055279</v>
      </c>
      <c r="D136" s="302">
        <f t="shared" si="14"/>
        <v>458995263.88081455</v>
      </c>
      <c r="E136" s="302">
        <f t="shared" si="14"/>
        <v>556225725.01553261</v>
      </c>
      <c r="F136" s="302">
        <f t="shared" si="14"/>
        <v>662029103.8302412</v>
      </c>
      <c r="G136" s="302">
        <f t="shared" si="14"/>
        <v>777063778.27075231</v>
      </c>
      <c r="H136" s="302">
        <f t="shared" si="14"/>
        <v>901909834.27518559</v>
      </c>
      <c r="I136" s="302">
        <f t="shared" si="14"/>
        <v>1016746813.6458839</v>
      </c>
    </row>
    <row r="137" spans="2:9" x14ac:dyDescent="0.2">
      <c r="B137" s="72" t="s">
        <v>357</v>
      </c>
      <c r="C137" s="304">
        <f t="shared" ref="C137:I137" si="15">+C132-C136</f>
        <v>2366223.8245012164</v>
      </c>
      <c r="D137" s="304">
        <f t="shared" si="15"/>
        <v>26966778.441681802</v>
      </c>
      <c r="E137" s="304">
        <f t="shared" si="15"/>
        <v>33755090.123891115</v>
      </c>
      <c r="F137" s="304">
        <f t="shared" si="15"/>
        <v>41157456.301996589</v>
      </c>
      <c r="G137" s="304">
        <f t="shared" si="15"/>
        <v>47582115.694669962</v>
      </c>
      <c r="H137" s="304">
        <f t="shared" si="15"/>
        <v>57833762.482744932</v>
      </c>
      <c r="I137" s="304">
        <f t="shared" si="15"/>
        <v>68802199.617809892</v>
      </c>
    </row>
    <row r="138" spans="2:9" x14ac:dyDescent="0.2">
      <c r="B138" s="74"/>
      <c r="C138" s="75"/>
      <c r="D138" s="75"/>
      <c r="E138" s="75"/>
      <c r="F138" s="75"/>
      <c r="G138" s="75"/>
      <c r="H138" s="75"/>
      <c r="I138" s="75"/>
    </row>
    <row r="139" spans="2:9" x14ac:dyDescent="0.2">
      <c r="B139" s="77" t="s">
        <v>358</v>
      </c>
      <c r="C139" s="78" t="s">
        <v>2</v>
      </c>
      <c r="D139" s="78" t="s">
        <v>3</v>
      </c>
      <c r="E139" s="78" t="s">
        <v>4</v>
      </c>
      <c r="F139" s="78" t="s">
        <v>5</v>
      </c>
      <c r="G139" s="78" t="s">
        <v>6</v>
      </c>
      <c r="H139" s="78" t="s">
        <v>170</v>
      </c>
      <c r="I139" s="78" t="s">
        <v>169</v>
      </c>
    </row>
    <row r="140" spans="2:9" x14ac:dyDescent="0.2">
      <c r="B140" s="69" t="str">
        <f t="shared" ref="B140:B146" si="16">B125</f>
        <v>Faclitiy 1 - Cleaning &amp; Grading</v>
      </c>
      <c r="C140" s="71">
        <f>'6.Cons Profit &amp; Loss'!B8</f>
        <v>65127868.435980007</v>
      </c>
      <c r="D140" s="71">
        <f>'6.Cons Profit &amp; Loss'!C8</f>
        <v>86861339.68049477</v>
      </c>
      <c r="E140" s="71">
        <f>'6.Cons Profit &amp; Loss'!D8</f>
        <v>109517791.1462326</v>
      </c>
      <c r="F140" s="71">
        <f>'6.Cons Profit &amp; Loss'!E8</f>
        <v>134222734.409343</v>
      </c>
      <c r="G140" s="71">
        <f>'6.Cons Profit &amp; Loss'!F8</f>
        <v>161124377.52089894</v>
      </c>
      <c r="H140" s="71">
        <f>'6.Cons Profit &amp; Loss'!G8</f>
        <v>190380628.10758704</v>
      </c>
      <c r="I140" s="71">
        <f>'6.Cons Profit &amp; Loss'!H8</f>
        <v>206149906.83870089</v>
      </c>
    </row>
    <row r="141" spans="2:9" x14ac:dyDescent="0.2">
      <c r="B141" s="69" t="str">
        <f t="shared" si="16"/>
        <v>Faclitiy 2 - Processing Unit- Dal Mill</v>
      </c>
      <c r="C141" s="71">
        <f>'6.Cons Profit &amp; Loss'!B9</f>
        <v>35650494.290000007</v>
      </c>
      <c r="D141" s="71">
        <f>'6.Cons Profit &amp; Loss'!C9</f>
        <v>57759717.062250018</v>
      </c>
      <c r="E141" s="71">
        <f>'6.Cons Profit &amp; Loss'!D9</f>
        <v>81145386.884362504</v>
      </c>
      <c r="F141" s="71">
        <f>'6.Cons Profit &amp; Loss'!E9</f>
        <v>106725224.39603063</v>
      </c>
      <c r="G141" s="71">
        <f>'6.Cons Profit &amp; Loss'!F9</f>
        <v>134660182.19165468</v>
      </c>
      <c r="H141" s="71">
        <f>'6.Cons Profit &amp; Loss'!G9</f>
        <v>165121822.70585108</v>
      </c>
      <c r="I141" s="71">
        <f>'6.Cons Profit &amp; Loss'!H9</f>
        <v>196221596.34465644</v>
      </c>
    </row>
    <row r="142" spans="2:9" x14ac:dyDescent="0.2">
      <c r="B142" s="69" t="str">
        <f t="shared" si="16"/>
        <v>Faclitiy 3 - Warehouse</v>
      </c>
      <c r="C142" s="71">
        <f>'6.Cons Profit &amp; Loss'!B10</f>
        <v>970199.99999999988</v>
      </c>
      <c r="D142" s="71">
        <f>'6.Cons Profit &amp; Loss'!C10</f>
        <v>1091475</v>
      </c>
      <c r="E142" s="71">
        <f>'6.Cons Profit &amp; Loss'!D10</f>
        <v>1222452</v>
      </c>
      <c r="F142" s="71">
        <f>'6.Cons Profit &amp; Loss'!E10</f>
        <v>1363798.0125000004</v>
      </c>
      <c r="G142" s="71">
        <f>'6.Cons Profit &amp; Loss'!F10</f>
        <v>0</v>
      </c>
      <c r="H142" s="71">
        <f>'6.Cons Profit &amp; Loss'!G10</f>
        <v>1592033.6210625006</v>
      </c>
      <c r="I142" s="71">
        <f>'6.Cons Profit &amp; Loss'!H10</f>
        <v>1671635.3021156259</v>
      </c>
    </row>
    <row r="143" spans="2:9" x14ac:dyDescent="0.2">
      <c r="B143" s="69" t="str">
        <f t="shared" si="16"/>
        <v xml:space="preserve">Faclitiy 4 - Custom Hiring </v>
      </c>
      <c r="C143" s="71">
        <f>'6.Cons Profit &amp; Loss'!B11</f>
        <v>0</v>
      </c>
      <c r="D143" s="71">
        <f>'6.Cons Profit &amp; Loss'!C11</f>
        <v>0</v>
      </c>
      <c r="E143" s="71">
        <f>'6.Cons Profit &amp; Loss'!D11</f>
        <v>0</v>
      </c>
      <c r="F143" s="71">
        <f>'6.Cons Profit &amp; Loss'!E11</f>
        <v>0</v>
      </c>
      <c r="G143" s="71">
        <f>'6.Cons Profit &amp; Loss'!F11</f>
        <v>0</v>
      </c>
      <c r="H143" s="71">
        <f>'6.Cons Profit &amp; Loss'!G11</f>
        <v>0</v>
      </c>
      <c r="I143" s="71">
        <f>'6.Cons Profit &amp; Loss'!H11</f>
        <v>0</v>
      </c>
    </row>
    <row r="144" spans="2:9" x14ac:dyDescent="0.2">
      <c r="B144" s="69" t="str">
        <f t="shared" si="16"/>
        <v>Faclitiy 5 - Agri Input Centre</v>
      </c>
      <c r="C144" s="71">
        <f>'6.Cons Profit &amp; Loss'!B12</f>
        <v>266072172.7455</v>
      </c>
      <c r="D144" s="71">
        <f>'6.Cons Profit &amp; Loss'!C12</f>
        <v>317108460.94534695</v>
      </c>
      <c r="E144" s="71">
        <f>'6.Cons Profit &amp; Loss'!D12</f>
        <v>370000860.57837987</v>
      </c>
      <c r="F144" s="71">
        <f>'6.Cons Profit &amp; Loss'!E12</f>
        <v>427389729.02235281</v>
      </c>
      <c r="G144" s="71">
        <f>'6.Cons Profit &amp; Loss'!F12</f>
        <v>489592482.15927708</v>
      </c>
      <c r="H144" s="71">
        <f>'6.Cons Profit &amp; Loss'!G12</f>
        <v>556947036.28733802</v>
      </c>
      <c r="I144" s="71">
        <f>'6.Cons Profit &amp; Loss'!H12</f>
        <v>629813064.62280679</v>
      </c>
    </row>
    <row r="145" spans="2:15" x14ac:dyDescent="0.2">
      <c r="B145" s="69" t="str">
        <f t="shared" si="16"/>
        <v>Facility 6 - Processing Unit - Horti Commodity</v>
      </c>
      <c r="C145" s="71">
        <f>'6.Cons Profit &amp; Loss'!B13</f>
        <v>0</v>
      </c>
      <c r="D145" s="71">
        <f>'6.Cons Profit &amp; Loss'!C13</f>
        <v>0</v>
      </c>
      <c r="E145" s="71">
        <f>'6.Cons Profit &amp; Loss'!D13</f>
        <v>0</v>
      </c>
      <c r="F145" s="71">
        <f>'6.Cons Profit &amp; Loss'!E13</f>
        <v>0</v>
      </c>
      <c r="G145" s="71">
        <f>'6.Cons Profit &amp; Loss'!F13</f>
        <v>0</v>
      </c>
      <c r="H145" s="71">
        <f>'6.Cons Profit &amp; Loss'!G13</f>
        <v>0</v>
      </c>
      <c r="I145" s="71">
        <f>'6.Cons Profit &amp; Loss'!H13</f>
        <v>0</v>
      </c>
    </row>
    <row r="146" spans="2:15" x14ac:dyDescent="0.2">
      <c r="B146" s="69">
        <f t="shared" si="16"/>
        <v>0</v>
      </c>
      <c r="C146" s="71">
        <f>'6.Cons Profit &amp; Loss'!B14</f>
        <v>0</v>
      </c>
      <c r="D146" s="71">
        <f>'6.Cons Profit &amp; Loss'!C14</f>
        <v>0</v>
      </c>
      <c r="E146" s="71">
        <f>'6.Cons Profit &amp; Loss'!D14</f>
        <v>0</v>
      </c>
      <c r="F146" s="71">
        <f>'6.Cons Profit &amp; Loss'!E14</f>
        <v>0</v>
      </c>
      <c r="G146" s="71">
        <f>'6.Cons Profit &amp; Loss'!F14</f>
        <v>0</v>
      </c>
      <c r="H146" s="71">
        <f>'6.Cons Profit &amp; Loss'!G14</f>
        <v>0</v>
      </c>
      <c r="I146" s="71">
        <f>'6.Cons Profit &amp; Loss'!H14</f>
        <v>0</v>
      </c>
    </row>
    <row r="147" spans="2:15" x14ac:dyDescent="0.2">
      <c r="B147" s="69" t="s">
        <v>353</v>
      </c>
      <c r="C147" s="71">
        <f>SUM(C140:C146)</f>
        <v>367820735.47148001</v>
      </c>
      <c r="D147" s="71">
        <f t="shared" ref="D147:I147" si="17">SUM(D140:D146)</f>
        <v>462820992.68809175</v>
      </c>
      <c r="E147" s="71">
        <f t="shared" si="17"/>
        <v>561886490.60897493</v>
      </c>
      <c r="F147" s="71">
        <f t="shared" si="17"/>
        <v>669701485.84022641</v>
      </c>
      <c r="G147" s="71">
        <f t="shared" si="17"/>
        <v>785377041.8718307</v>
      </c>
      <c r="H147" s="71">
        <f t="shared" si="17"/>
        <v>914041520.72183871</v>
      </c>
      <c r="I147" s="71">
        <f t="shared" si="17"/>
        <v>1033856203.1082797</v>
      </c>
    </row>
    <row r="148" spans="2:15" x14ac:dyDescent="0.2">
      <c r="B148" s="69" t="s">
        <v>354</v>
      </c>
      <c r="C148" s="76"/>
      <c r="D148" s="71"/>
      <c r="E148" s="71"/>
      <c r="F148" s="71"/>
      <c r="G148" s="71"/>
      <c r="H148" s="71"/>
      <c r="I148" s="71"/>
    </row>
    <row r="149" spans="2:15" x14ac:dyDescent="0.2">
      <c r="B149" s="69" t="s">
        <v>355</v>
      </c>
      <c r="C149" s="70">
        <f>'6.Cons Profit &amp; Loss'!B36</f>
        <v>3335295.8053000001</v>
      </c>
      <c r="D149" s="70">
        <f>'6.Cons Profit &amp; Loss'!C36</f>
        <v>3615748.7053</v>
      </c>
      <c r="E149" s="70">
        <f>'6.Cons Profit &amp; Loss'!D36</f>
        <v>3794863.5433</v>
      </c>
      <c r="F149" s="70">
        <f>'6.Cons Profit &amp; Loss'!E36</f>
        <v>3983080.3808500003</v>
      </c>
      <c r="G149" s="70">
        <f>'6.Cons Profit &amp; Loss'!F36</f>
        <v>4219140.13081</v>
      </c>
      <c r="H149" s="70">
        <f>'6.Cons Profit &amp; Loss'!G36</f>
        <v>4434999.3870855011</v>
      </c>
      <c r="I149" s="70">
        <f>'6.Cons Profit &amp; Loss'!H36</f>
        <v>4638351.6061747763</v>
      </c>
    </row>
    <row r="150" spans="2:15" x14ac:dyDescent="0.2">
      <c r="B150" s="69" t="s">
        <v>314</v>
      </c>
      <c r="C150" s="70">
        <f>'6.Cons Profit &amp; Loss'!B25*(1+$M$127)</f>
        <v>380510252.61525279</v>
      </c>
      <c r="D150" s="70">
        <f>'6.Cons Profit &amp; Loss'!C25*(1+$M$127)</f>
        <v>478148490.93429035</v>
      </c>
      <c r="E150" s="70">
        <f>'6.Cons Profit &amp; Loss'!D25*(1+$M$127)</f>
        <v>580052404.5458442</v>
      </c>
      <c r="F150" s="70">
        <f>'6.Cons Profit &amp; Loss'!E25*(1+$M$127)</f>
        <v>690948324.62186086</v>
      </c>
      <c r="G150" s="70">
        <f>'6.Cons Profit &amp; Loss'!F25*(1+$M$127)</f>
        <v>811486870.04693949</v>
      </c>
      <c r="H150" s="70">
        <f>'6.Cons Profit &amp; Loss'!G25*(1+$M$127)</f>
        <v>942348576.63250506</v>
      </c>
      <c r="I150" s="70">
        <f>'6.Cons Profit &amp; Loss'!H25*(1+$M$127)</f>
        <v>1062713885.1416945</v>
      </c>
    </row>
    <row r="151" spans="2:15" x14ac:dyDescent="0.2">
      <c r="B151" s="69" t="s">
        <v>356</v>
      </c>
      <c r="C151" s="70">
        <f t="shared" ref="C151:I151" si="18">SUM(C149:C150)</f>
        <v>383845548.42055279</v>
      </c>
      <c r="D151" s="70">
        <f t="shared" si="18"/>
        <v>481764239.63959032</v>
      </c>
      <c r="E151" s="70">
        <f t="shared" si="18"/>
        <v>583847268.08914423</v>
      </c>
      <c r="F151" s="70">
        <f t="shared" si="18"/>
        <v>694931405.00271082</v>
      </c>
      <c r="G151" s="70">
        <f t="shared" si="18"/>
        <v>815706010.17774951</v>
      </c>
      <c r="H151" s="70">
        <f t="shared" si="18"/>
        <v>946783576.01959062</v>
      </c>
      <c r="I151" s="70">
        <f t="shared" si="18"/>
        <v>1067352236.7478694</v>
      </c>
    </row>
    <row r="152" spans="2:15" x14ac:dyDescent="0.2">
      <c r="B152" s="72" t="s">
        <v>357</v>
      </c>
      <c r="C152" s="73">
        <f t="shared" ref="C152:I152" si="19">+C147-C151</f>
        <v>-16024812.949072778</v>
      </c>
      <c r="D152" s="73">
        <f t="shared" si="19"/>
        <v>-18943246.951498568</v>
      </c>
      <c r="E152" s="73">
        <f t="shared" si="19"/>
        <v>-21960777.480169296</v>
      </c>
      <c r="F152" s="73">
        <f t="shared" si="19"/>
        <v>-25229919.162484407</v>
      </c>
      <c r="G152" s="73">
        <f t="shared" si="19"/>
        <v>-30328968.305918813</v>
      </c>
      <c r="H152" s="73">
        <f t="shared" si="19"/>
        <v>-32742055.297751904</v>
      </c>
      <c r="I152" s="73">
        <f t="shared" si="19"/>
        <v>-33496033.639589667</v>
      </c>
      <c r="N152" s="3"/>
      <c r="O152" s="5"/>
    </row>
    <row r="153" spans="2:15" x14ac:dyDescent="0.2">
      <c r="B153" s="74"/>
      <c r="C153" s="75"/>
      <c r="D153" s="75"/>
      <c r="E153" s="75"/>
      <c r="F153" s="75"/>
      <c r="G153" s="75"/>
      <c r="H153" s="75"/>
      <c r="I153" s="75"/>
    </row>
    <row r="154" spans="2:15" x14ac:dyDescent="0.2">
      <c r="B154" s="77" t="s">
        <v>359</v>
      </c>
      <c r="C154" s="78" t="s">
        <v>2</v>
      </c>
      <c r="D154" s="78" t="s">
        <v>3</v>
      </c>
      <c r="E154" s="78" t="s">
        <v>4</v>
      </c>
      <c r="F154" s="78" t="s">
        <v>5</v>
      </c>
      <c r="G154" s="78" t="s">
        <v>6</v>
      </c>
      <c r="H154" s="78" t="s">
        <v>170</v>
      </c>
      <c r="I154" s="78" t="s">
        <v>169</v>
      </c>
    </row>
    <row r="155" spans="2:15" x14ac:dyDescent="0.2">
      <c r="B155" s="69" t="str">
        <f t="shared" ref="B155:B161" si="20">B140</f>
        <v>Faclitiy 1 - Cleaning &amp; Grading</v>
      </c>
      <c r="C155" s="302">
        <f>'6.Cons Profit &amp; Loss'!B8*(1-$M$126)</f>
        <v>61871475.014181003</v>
      </c>
      <c r="D155" s="302">
        <f>'6.Cons Profit &amp; Loss'!C8*(1-$M$126)</f>
        <v>82518272.696470022</v>
      </c>
      <c r="E155" s="302">
        <f>'6.Cons Profit &amp; Loss'!D8*(1-$M$126)</f>
        <v>104041901.58892097</v>
      </c>
      <c r="F155" s="302">
        <f>'6.Cons Profit &amp; Loss'!E8*(1-$M$126)</f>
        <v>127511597.68887585</v>
      </c>
      <c r="G155" s="302">
        <f>'6.Cons Profit &amp; Loss'!F8*(1-$M$126)</f>
        <v>153068158.64485398</v>
      </c>
      <c r="H155" s="302">
        <f>'6.Cons Profit &amp; Loss'!G8*(1-$M$126)</f>
        <v>180861596.70220768</v>
      </c>
      <c r="I155" s="302">
        <f>'6.Cons Profit &amp; Loss'!H8*(1-$M$126)</f>
        <v>195842411.49676582</v>
      </c>
    </row>
    <row r="156" spans="2:15" x14ac:dyDescent="0.2">
      <c r="B156" s="69" t="str">
        <f t="shared" si="20"/>
        <v>Faclitiy 2 - Processing Unit- Dal Mill</v>
      </c>
      <c r="C156" s="302">
        <f>'6.Cons Profit &amp; Loss'!B9*(1-$M$126)</f>
        <v>33867969.575500004</v>
      </c>
      <c r="D156" s="302">
        <f>'6.Cons Profit &amp; Loss'!C9*(1-$M$126)</f>
        <v>54871731.209137514</v>
      </c>
      <c r="E156" s="302">
        <f>'6.Cons Profit &amp; Loss'!D9*(1-$M$126)</f>
        <v>77088117.540144369</v>
      </c>
      <c r="F156" s="302">
        <f>'6.Cons Profit &amp; Loss'!E9*(1-$M$126)</f>
        <v>101388963.1762291</v>
      </c>
      <c r="G156" s="302">
        <f>'6.Cons Profit &amp; Loss'!F9*(1-$M$126)</f>
        <v>127927173.08207195</v>
      </c>
      <c r="H156" s="302">
        <f>'6.Cons Profit &amp; Loss'!G9*(1-$M$126)</f>
        <v>156865731.57055852</v>
      </c>
      <c r="I156" s="302">
        <f>'6.Cons Profit &amp; Loss'!H9*(1-$M$126)</f>
        <v>186410516.52742362</v>
      </c>
    </row>
    <row r="157" spans="2:15" x14ac:dyDescent="0.2">
      <c r="B157" s="69" t="str">
        <f t="shared" si="20"/>
        <v>Faclitiy 3 - Warehouse</v>
      </c>
      <c r="C157" s="302">
        <f>'6.Cons Profit &amp; Loss'!B10*(1-$M$126)</f>
        <v>921689.99999999988</v>
      </c>
      <c r="D157" s="302">
        <f>'6.Cons Profit &amp; Loss'!C10*(1-$M$126)</f>
        <v>1036901.25</v>
      </c>
      <c r="E157" s="302">
        <f>'6.Cons Profit &amp; Loss'!D10*(1-$M$126)</f>
        <v>1161329.3999999999</v>
      </c>
      <c r="F157" s="302">
        <f>'6.Cons Profit &amp; Loss'!E10*(1-$M$126)</f>
        <v>1295608.1118750004</v>
      </c>
      <c r="G157" s="302">
        <f>'6.Cons Profit &amp; Loss'!F10*(1-$M$126)</f>
        <v>0</v>
      </c>
      <c r="H157" s="302">
        <f>'6.Cons Profit &amp; Loss'!G10*(1-$M$126)</f>
        <v>1512431.9400093756</v>
      </c>
      <c r="I157" s="302">
        <f>'6.Cons Profit &amp; Loss'!H10*(1-$M$126)</f>
        <v>1588053.5370098446</v>
      </c>
    </row>
    <row r="158" spans="2:15" x14ac:dyDescent="0.2">
      <c r="B158" s="69" t="str">
        <f t="shared" si="20"/>
        <v xml:space="preserve">Faclitiy 4 - Custom Hiring </v>
      </c>
      <c r="C158" s="302">
        <f>'6.Cons Profit &amp; Loss'!B11*(1-$M$126)</f>
        <v>0</v>
      </c>
      <c r="D158" s="302">
        <f>'6.Cons Profit &amp; Loss'!C11*(1-$M$126)</f>
        <v>0</v>
      </c>
      <c r="E158" s="302">
        <f>'6.Cons Profit &amp; Loss'!D11*(1-$M$126)</f>
        <v>0</v>
      </c>
      <c r="F158" s="302">
        <f>'6.Cons Profit &amp; Loss'!E11*(1-$M$126)</f>
        <v>0</v>
      </c>
      <c r="G158" s="302">
        <f>'6.Cons Profit &amp; Loss'!F11*(1-$M$126)</f>
        <v>0</v>
      </c>
      <c r="H158" s="302">
        <f>'6.Cons Profit &amp; Loss'!G11*(1-$M$126)</f>
        <v>0</v>
      </c>
      <c r="I158" s="302">
        <f>'6.Cons Profit &amp; Loss'!H11*(1-$M$126)</f>
        <v>0</v>
      </c>
    </row>
    <row r="159" spans="2:15" x14ac:dyDescent="0.2">
      <c r="B159" s="69" t="str">
        <f t="shared" si="20"/>
        <v>Faclitiy 5 - Agri Input Centre</v>
      </c>
      <c r="C159" s="302">
        <f>'6.Cons Profit &amp; Loss'!B12*(1-$M$126)</f>
        <v>252768564.10822499</v>
      </c>
      <c r="D159" s="302">
        <f>'6.Cons Profit &amp; Loss'!C12*(1-$M$126)</f>
        <v>301253037.89807957</v>
      </c>
      <c r="E159" s="302">
        <f>'6.Cons Profit &amp; Loss'!D12*(1-$M$126)</f>
        <v>351500817.54946089</v>
      </c>
      <c r="F159" s="302">
        <f>'6.Cons Profit &amp; Loss'!E12*(1-$M$126)</f>
        <v>406020242.57123518</v>
      </c>
      <c r="G159" s="302">
        <f>'6.Cons Profit &amp; Loss'!F12*(1-$M$126)</f>
        <v>465112858.05131322</v>
      </c>
      <c r="H159" s="302">
        <f>'6.Cons Profit &amp; Loss'!G12*(1-$M$126)</f>
        <v>529099684.47297108</v>
      </c>
      <c r="I159" s="302">
        <f>'6.Cons Profit &amp; Loss'!H12*(1-$M$126)</f>
        <v>598322411.39166641</v>
      </c>
    </row>
    <row r="160" spans="2:15" x14ac:dyDescent="0.2">
      <c r="B160" s="69" t="str">
        <f t="shared" si="20"/>
        <v>Facility 6 - Processing Unit - Horti Commodity</v>
      </c>
      <c r="C160" s="302">
        <f>'6.Cons Profit &amp; Loss'!B13*(1-$M$126)</f>
        <v>0</v>
      </c>
      <c r="D160" s="302">
        <f>'6.Cons Profit &amp; Loss'!C13*(1-$M$126)</f>
        <v>0</v>
      </c>
      <c r="E160" s="302">
        <f>'6.Cons Profit &amp; Loss'!D13*(1-$M$126)</f>
        <v>0</v>
      </c>
      <c r="F160" s="302">
        <f>'6.Cons Profit &amp; Loss'!E13*(1-$M$126)</f>
        <v>0</v>
      </c>
      <c r="G160" s="302">
        <f>'6.Cons Profit &amp; Loss'!F13*(1-$M$126)</f>
        <v>0</v>
      </c>
      <c r="H160" s="302">
        <f>'6.Cons Profit &amp; Loss'!G13*(1-$M$126)</f>
        <v>0</v>
      </c>
      <c r="I160" s="302">
        <f>'6.Cons Profit &amp; Loss'!H13*(1-$M$126)</f>
        <v>0</v>
      </c>
    </row>
    <row r="161" spans="2:9" x14ac:dyDescent="0.2">
      <c r="B161" s="69">
        <f t="shared" si="20"/>
        <v>0</v>
      </c>
      <c r="C161" s="302">
        <f>'6.Cons Profit &amp; Loss'!B14*(1-$M$126)</f>
        <v>0</v>
      </c>
      <c r="D161" s="302">
        <f>'6.Cons Profit &amp; Loss'!C14*(1-$M$126)</f>
        <v>0</v>
      </c>
      <c r="E161" s="302">
        <f>'6.Cons Profit &amp; Loss'!D14*(1-$M$126)</f>
        <v>0</v>
      </c>
      <c r="F161" s="302">
        <f>'6.Cons Profit &amp; Loss'!E14*(1-$M$126)</f>
        <v>0</v>
      </c>
      <c r="G161" s="302">
        <f>'6.Cons Profit &amp; Loss'!F14*(1-$M$126)</f>
        <v>0</v>
      </c>
      <c r="H161" s="302">
        <f>'6.Cons Profit &amp; Loss'!G14*(1-$M$126)</f>
        <v>0</v>
      </c>
      <c r="I161" s="302">
        <f>'6.Cons Profit &amp; Loss'!H14*(1-$M$126)</f>
        <v>0</v>
      </c>
    </row>
    <row r="162" spans="2:9" x14ac:dyDescent="0.2">
      <c r="B162" s="69" t="s">
        <v>353</v>
      </c>
      <c r="C162" s="302">
        <f>SUM(C155:C161)</f>
        <v>349429698.69790602</v>
      </c>
      <c r="D162" s="302">
        <f t="shared" ref="D162:I162" si="21">SUM(D155:D161)</f>
        <v>439679943.0536871</v>
      </c>
      <c r="E162" s="302">
        <f t="shared" si="21"/>
        <v>533792166.07852626</v>
      </c>
      <c r="F162" s="302">
        <f t="shared" si="21"/>
        <v>636216411.54821515</v>
      </c>
      <c r="G162" s="302">
        <f t="shared" si="21"/>
        <v>746108189.77823913</v>
      </c>
      <c r="H162" s="302">
        <f t="shared" si="21"/>
        <v>868339444.68574667</v>
      </c>
      <c r="I162" s="302">
        <f t="shared" si="21"/>
        <v>982163392.95286572</v>
      </c>
    </row>
    <row r="163" spans="2:9" x14ac:dyDescent="0.2">
      <c r="B163" s="69" t="s">
        <v>354</v>
      </c>
      <c r="C163" s="302"/>
      <c r="D163" s="302"/>
      <c r="E163" s="302"/>
      <c r="F163" s="302"/>
      <c r="G163" s="302"/>
      <c r="H163" s="302"/>
      <c r="I163" s="302"/>
    </row>
    <row r="164" spans="2:9" x14ac:dyDescent="0.2">
      <c r="B164" s="69" t="s">
        <v>355</v>
      </c>
      <c r="C164" s="302">
        <f>'6.Cons Profit &amp; Loss'!B36</f>
        <v>3335295.8053000001</v>
      </c>
      <c r="D164" s="302">
        <f>'6.Cons Profit &amp; Loss'!C36</f>
        <v>3615748.7053</v>
      </c>
      <c r="E164" s="302">
        <f>'6.Cons Profit &amp; Loss'!D36</f>
        <v>3794863.5433</v>
      </c>
      <c r="F164" s="302">
        <f>'6.Cons Profit &amp; Loss'!E36</f>
        <v>3983080.3808500003</v>
      </c>
      <c r="G164" s="302">
        <f>'6.Cons Profit &amp; Loss'!F36</f>
        <v>4219140.13081</v>
      </c>
      <c r="H164" s="302">
        <f>'6.Cons Profit &amp; Loss'!G36</f>
        <v>4434999.3870855011</v>
      </c>
      <c r="I164" s="302">
        <f>'6.Cons Profit &amp; Loss'!H36</f>
        <v>4638351.6061747763</v>
      </c>
    </row>
    <row r="165" spans="2:9" x14ac:dyDescent="0.2">
      <c r="B165" s="69" t="s">
        <v>314</v>
      </c>
      <c r="C165" s="302">
        <f>'6.Cons Profit &amp; Loss'!B25*(1-$M$126)</f>
        <v>344271180.93760961</v>
      </c>
      <c r="D165" s="302">
        <f>'6.Cons Profit &amp; Loss'!C25*(1-$M$126)</f>
        <v>432610539.41673881</v>
      </c>
      <c r="E165" s="302">
        <f>'6.Cons Profit &amp; Loss'!D25*(1-$M$126)</f>
        <v>524809318.3986209</v>
      </c>
      <c r="F165" s="302">
        <f>'6.Cons Profit &amp; Loss'!E25*(1-$M$126)</f>
        <v>625143722.27692163</v>
      </c>
      <c r="G165" s="302">
        <f>'6.Cons Profit &amp; Loss'!F25*(1-$M$126)</f>
        <v>734202406.23294508</v>
      </c>
      <c r="H165" s="302">
        <f>'6.Cons Profit &amp; Loss'!G25*(1-$M$126)</f>
        <v>852601093.143695</v>
      </c>
      <c r="I165" s="302">
        <f>'6.Cons Profit &amp; Loss'!H25*(1-$M$126)</f>
        <v>961503038.93772364</v>
      </c>
    </row>
    <row r="166" spans="2:9" x14ac:dyDescent="0.2">
      <c r="B166" s="69" t="s">
        <v>356</v>
      </c>
      <c r="C166" s="302">
        <f t="shared" ref="C166:I166" si="22">SUM(C164:C165)</f>
        <v>347606476.74290961</v>
      </c>
      <c r="D166" s="302">
        <f t="shared" si="22"/>
        <v>436226288.12203878</v>
      </c>
      <c r="E166" s="302">
        <f t="shared" si="22"/>
        <v>528604181.94192088</v>
      </c>
      <c r="F166" s="302">
        <f t="shared" si="22"/>
        <v>629126802.65777159</v>
      </c>
      <c r="G166" s="302">
        <f t="shared" si="22"/>
        <v>738421546.36375511</v>
      </c>
      <c r="H166" s="302">
        <f t="shared" si="22"/>
        <v>857036092.53078055</v>
      </c>
      <c r="I166" s="302">
        <f t="shared" si="22"/>
        <v>966141390.54389846</v>
      </c>
    </row>
    <row r="167" spans="2:9" x14ac:dyDescent="0.2">
      <c r="B167" s="72" t="s">
        <v>357</v>
      </c>
      <c r="C167" s="304">
        <f t="shared" ref="C167:I167" si="23">+C162-C166</f>
        <v>1823221.954996407</v>
      </c>
      <c r="D167" s="304">
        <f t="shared" si="23"/>
        <v>3453654.931648314</v>
      </c>
      <c r="E167" s="304">
        <f t="shared" si="23"/>
        <v>5187984.136605382</v>
      </c>
      <c r="F167" s="304">
        <f t="shared" si="23"/>
        <v>7089608.8904435635</v>
      </c>
      <c r="G167" s="304">
        <f t="shared" si="23"/>
        <v>7686643.414484024</v>
      </c>
      <c r="H167" s="304">
        <f t="shared" si="23"/>
        <v>11303352.154966116</v>
      </c>
      <c r="I167" s="304">
        <f t="shared" si="23"/>
        <v>16022002.408967257</v>
      </c>
    </row>
    <row r="168" spans="2:9" x14ac:dyDescent="0.2">
      <c r="B168" s="12"/>
      <c r="C168" s="75"/>
      <c r="D168" s="75"/>
      <c r="E168" s="75"/>
      <c r="F168" s="75"/>
      <c r="G168" s="75"/>
      <c r="H168" s="75"/>
      <c r="I168" s="75"/>
    </row>
    <row r="169" spans="2:9" x14ac:dyDescent="0.2">
      <c r="B169" s="77" t="s">
        <v>360</v>
      </c>
      <c r="C169" s="78" t="s">
        <v>2</v>
      </c>
      <c r="D169" s="78" t="s">
        <v>3</v>
      </c>
      <c r="E169" s="78" t="s">
        <v>4</v>
      </c>
      <c r="F169" s="78" t="s">
        <v>5</v>
      </c>
      <c r="G169" s="78" t="s">
        <v>6</v>
      </c>
      <c r="H169" s="78" t="s">
        <v>170</v>
      </c>
      <c r="I169" s="78" t="s">
        <v>169</v>
      </c>
    </row>
    <row r="170" spans="2:9" x14ac:dyDescent="0.2">
      <c r="B170" s="69" t="str">
        <f t="shared" ref="B170:B176" si="24">B155</f>
        <v>Faclitiy 1 - Cleaning &amp; Grading</v>
      </c>
      <c r="C170" s="71">
        <f>'6.Cons Profit &amp; Loss'!B8</f>
        <v>65127868.435980007</v>
      </c>
      <c r="D170" s="71">
        <f>'6.Cons Profit &amp; Loss'!C8</f>
        <v>86861339.68049477</v>
      </c>
      <c r="E170" s="71">
        <f>'6.Cons Profit &amp; Loss'!D8</f>
        <v>109517791.1462326</v>
      </c>
      <c r="F170" s="71">
        <f>'6.Cons Profit &amp; Loss'!E8</f>
        <v>134222734.409343</v>
      </c>
      <c r="G170" s="71">
        <f>'6.Cons Profit &amp; Loss'!F8</f>
        <v>161124377.52089894</v>
      </c>
      <c r="H170" s="71">
        <f>'6.Cons Profit &amp; Loss'!G8</f>
        <v>190380628.10758704</v>
      </c>
      <c r="I170" s="71">
        <f>'6.Cons Profit &amp; Loss'!H8</f>
        <v>206149906.83870089</v>
      </c>
    </row>
    <row r="171" spans="2:9" x14ac:dyDescent="0.2">
      <c r="B171" s="69" t="str">
        <f t="shared" si="24"/>
        <v>Faclitiy 2 - Processing Unit- Dal Mill</v>
      </c>
      <c r="C171" s="71">
        <f>'6.Cons Profit &amp; Loss'!B9</f>
        <v>35650494.290000007</v>
      </c>
      <c r="D171" s="71">
        <f>'6.Cons Profit &amp; Loss'!C9</f>
        <v>57759717.062250018</v>
      </c>
      <c r="E171" s="71">
        <f>'6.Cons Profit &amp; Loss'!D9</f>
        <v>81145386.884362504</v>
      </c>
      <c r="F171" s="71">
        <f>'6.Cons Profit &amp; Loss'!E9</f>
        <v>106725224.39603063</v>
      </c>
      <c r="G171" s="71">
        <f>'6.Cons Profit &amp; Loss'!F9</f>
        <v>134660182.19165468</v>
      </c>
      <c r="H171" s="71">
        <f>'6.Cons Profit &amp; Loss'!G9</f>
        <v>165121822.70585108</v>
      </c>
      <c r="I171" s="71">
        <f>'6.Cons Profit &amp; Loss'!H9</f>
        <v>196221596.34465644</v>
      </c>
    </row>
    <row r="172" spans="2:9" x14ac:dyDescent="0.2">
      <c r="B172" s="69" t="str">
        <f t="shared" si="24"/>
        <v>Faclitiy 3 - Warehouse</v>
      </c>
      <c r="C172" s="71">
        <f>'6.Cons Profit &amp; Loss'!B10</f>
        <v>970199.99999999988</v>
      </c>
      <c r="D172" s="71">
        <f>'6.Cons Profit &amp; Loss'!C10</f>
        <v>1091475</v>
      </c>
      <c r="E172" s="71">
        <f>'6.Cons Profit &amp; Loss'!D10</f>
        <v>1222452</v>
      </c>
      <c r="F172" s="71">
        <f>'6.Cons Profit &amp; Loss'!E10</f>
        <v>1363798.0125000004</v>
      </c>
      <c r="G172" s="71">
        <f>'6.Cons Profit &amp; Loss'!F10</f>
        <v>0</v>
      </c>
      <c r="H172" s="71">
        <f>'6.Cons Profit &amp; Loss'!G10</f>
        <v>1592033.6210625006</v>
      </c>
      <c r="I172" s="71">
        <f>'6.Cons Profit &amp; Loss'!H10</f>
        <v>1671635.3021156259</v>
      </c>
    </row>
    <row r="173" spans="2:9" x14ac:dyDescent="0.2">
      <c r="B173" s="69" t="str">
        <f t="shared" si="24"/>
        <v xml:space="preserve">Faclitiy 4 - Custom Hiring </v>
      </c>
      <c r="C173" s="71">
        <f>'6.Cons Profit &amp; Loss'!B11</f>
        <v>0</v>
      </c>
      <c r="D173" s="71">
        <f>'6.Cons Profit &amp; Loss'!C11</f>
        <v>0</v>
      </c>
      <c r="E173" s="71">
        <f>'6.Cons Profit &amp; Loss'!D11</f>
        <v>0</v>
      </c>
      <c r="F173" s="71">
        <f>'6.Cons Profit &amp; Loss'!E11</f>
        <v>0</v>
      </c>
      <c r="G173" s="71">
        <f>'6.Cons Profit &amp; Loss'!F11</f>
        <v>0</v>
      </c>
      <c r="H173" s="71">
        <f>'6.Cons Profit &amp; Loss'!G11</f>
        <v>0</v>
      </c>
      <c r="I173" s="71">
        <f>'6.Cons Profit &amp; Loss'!H11</f>
        <v>0</v>
      </c>
    </row>
    <row r="174" spans="2:9" x14ac:dyDescent="0.2">
      <c r="B174" s="69" t="str">
        <f t="shared" si="24"/>
        <v>Faclitiy 5 - Agri Input Centre</v>
      </c>
      <c r="C174" s="71">
        <f>'6.Cons Profit &amp; Loss'!B12</f>
        <v>266072172.7455</v>
      </c>
      <c r="D174" s="71">
        <f>'6.Cons Profit &amp; Loss'!C12</f>
        <v>317108460.94534695</v>
      </c>
      <c r="E174" s="71">
        <f>'6.Cons Profit &amp; Loss'!D12</f>
        <v>370000860.57837987</v>
      </c>
      <c r="F174" s="71">
        <f>'6.Cons Profit &amp; Loss'!E12</f>
        <v>427389729.02235281</v>
      </c>
      <c r="G174" s="71">
        <f>'6.Cons Profit &amp; Loss'!F12</f>
        <v>489592482.15927708</v>
      </c>
      <c r="H174" s="71">
        <f>'6.Cons Profit &amp; Loss'!G12</f>
        <v>556947036.28733802</v>
      </c>
      <c r="I174" s="71">
        <f>'6.Cons Profit &amp; Loss'!H12</f>
        <v>629813064.62280679</v>
      </c>
    </row>
    <row r="175" spans="2:9" x14ac:dyDescent="0.2">
      <c r="B175" s="69" t="str">
        <f t="shared" si="24"/>
        <v>Facility 6 - Processing Unit - Horti Commodity</v>
      </c>
      <c r="C175" s="71">
        <f>'6.Cons Profit &amp; Loss'!B13</f>
        <v>0</v>
      </c>
      <c r="D175" s="71">
        <f>'6.Cons Profit &amp; Loss'!C13</f>
        <v>0</v>
      </c>
      <c r="E175" s="71">
        <f>'6.Cons Profit &amp; Loss'!D13</f>
        <v>0</v>
      </c>
      <c r="F175" s="71">
        <f>'6.Cons Profit &amp; Loss'!E13</f>
        <v>0</v>
      </c>
      <c r="G175" s="71">
        <f>'6.Cons Profit &amp; Loss'!F13</f>
        <v>0</v>
      </c>
      <c r="H175" s="71">
        <f>'6.Cons Profit &amp; Loss'!G13</f>
        <v>0</v>
      </c>
      <c r="I175" s="71">
        <f>'6.Cons Profit &amp; Loss'!H13</f>
        <v>0</v>
      </c>
    </row>
    <row r="176" spans="2:9" x14ac:dyDescent="0.2">
      <c r="B176" s="69">
        <f t="shared" si="24"/>
        <v>0</v>
      </c>
      <c r="C176" s="71">
        <f>'6.Cons Profit &amp; Loss'!B14</f>
        <v>0</v>
      </c>
      <c r="D176" s="71">
        <f>'6.Cons Profit &amp; Loss'!C14</f>
        <v>0</v>
      </c>
      <c r="E176" s="71">
        <f>'6.Cons Profit &amp; Loss'!D14</f>
        <v>0</v>
      </c>
      <c r="F176" s="71">
        <f>'6.Cons Profit &amp; Loss'!E14</f>
        <v>0</v>
      </c>
      <c r="G176" s="71">
        <f>'6.Cons Profit &amp; Loss'!F14</f>
        <v>0</v>
      </c>
      <c r="H176" s="71">
        <f>'6.Cons Profit &amp; Loss'!G14</f>
        <v>0</v>
      </c>
      <c r="I176" s="71">
        <f>'6.Cons Profit &amp; Loss'!H14</f>
        <v>0</v>
      </c>
    </row>
    <row r="177" spans="2:13" x14ac:dyDescent="0.2">
      <c r="B177" s="69" t="s">
        <v>353</v>
      </c>
      <c r="C177" s="71">
        <f>SUM(C170:C176)</f>
        <v>367820735.47148001</v>
      </c>
      <c r="D177" s="71">
        <f t="shared" ref="D177:I177" si="25">SUM(D170:D176)</f>
        <v>462820992.68809175</v>
      </c>
      <c r="E177" s="71">
        <f t="shared" si="25"/>
        <v>561886490.60897493</v>
      </c>
      <c r="F177" s="71">
        <f t="shared" si="25"/>
        <v>669701485.84022641</v>
      </c>
      <c r="G177" s="71">
        <f t="shared" si="25"/>
        <v>785377041.8718307</v>
      </c>
      <c r="H177" s="71">
        <f t="shared" si="25"/>
        <v>914041520.72183871</v>
      </c>
      <c r="I177" s="71">
        <f t="shared" si="25"/>
        <v>1033856203.1082797</v>
      </c>
    </row>
    <row r="178" spans="2:13" x14ac:dyDescent="0.2">
      <c r="B178" s="69" t="s">
        <v>354</v>
      </c>
      <c r="C178" s="71"/>
      <c r="D178" s="71"/>
      <c r="E178" s="71"/>
      <c r="F178" s="71"/>
      <c r="G178" s="71"/>
      <c r="H178" s="71"/>
      <c r="I178" s="71"/>
    </row>
    <row r="179" spans="2:13" x14ac:dyDescent="0.2">
      <c r="B179" s="69" t="s">
        <v>355</v>
      </c>
      <c r="C179" s="71">
        <f>'6.Cons Profit &amp; Loss'!B36</f>
        <v>3335295.8053000001</v>
      </c>
      <c r="D179" s="71">
        <f>'6.Cons Profit &amp; Loss'!C36</f>
        <v>3615748.7053</v>
      </c>
      <c r="E179" s="71">
        <f>'6.Cons Profit &amp; Loss'!D36</f>
        <v>3794863.5433</v>
      </c>
      <c r="F179" s="71">
        <f>'6.Cons Profit &amp; Loss'!E36</f>
        <v>3983080.3808500003</v>
      </c>
      <c r="G179" s="71">
        <f>'6.Cons Profit &amp; Loss'!F36</f>
        <v>4219140.13081</v>
      </c>
      <c r="H179" s="71">
        <f>'6.Cons Profit &amp; Loss'!G36</f>
        <v>4434999.3870855011</v>
      </c>
      <c r="I179" s="71">
        <f>'6.Cons Profit &amp; Loss'!H36</f>
        <v>4638351.6061747763</v>
      </c>
    </row>
    <row r="180" spans="2:13" x14ac:dyDescent="0.2">
      <c r="B180" s="69" t="s">
        <v>314</v>
      </c>
      <c r="C180" s="71">
        <f>'6.Cons Profit &amp; Loss'!B25*(1-$M$127)</f>
        <v>344271180.93760961</v>
      </c>
      <c r="D180" s="71">
        <f>'6.Cons Profit &amp; Loss'!C25*(1-$M$127)</f>
        <v>432610539.41673881</v>
      </c>
      <c r="E180" s="71">
        <f>'6.Cons Profit &amp; Loss'!D25*(1-$M$127)</f>
        <v>524809318.3986209</v>
      </c>
      <c r="F180" s="71">
        <f>'6.Cons Profit &amp; Loss'!E25*(1-$M$127)</f>
        <v>625143722.27692163</v>
      </c>
      <c r="G180" s="71">
        <f>'6.Cons Profit &amp; Loss'!F25*(1-$M$127)</f>
        <v>734202406.23294508</v>
      </c>
      <c r="H180" s="71">
        <f>'6.Cons Profit &amp; Loss'!G25*(1-$M$127)</f>
        <v>852601093.143695</v>
      </c>
      <c r="I180" s="71">
        <f>'6.Cons Profit &amp; Loss'!H25*(1-$M$127)</f>
        <v>961503038.93772364</v>
      </c>
    </row>
    <row r="181" spans="2:13" x14ac:dyDescent="0.2">
      <c r="B181" s="69" t="s">
        <v>356</v>
      </c>
      <c r="C181" s="71">
        <f t="shared" ref="C181:I181" si="26">SUM(C179:C180)</f>
        <v>347606476.74290961</v>
      </c>
      <c r="D181" s="71">
        <f t="shared" si="26"/>
        <v>436226288.12203878</v>
      </c>
      <c r="E181" s="71">
        <f t="shared" si="26"/>
        <v>528604181.94192088</v>
      </c>
      <c r="F181" s="71">
        <f t="shared" si="26"/>
        <v>629126802.65777159</v>
      </c>
      <c r="G181" s="71">
        <f t="shared" si="26"/>
        <v>738421546.36375511</v>
      </c>
      <c r="H181" s="71">
        <f t="shared" si="26"/>
        <v>857036092.53078055</v>
      </c>
      <c r="I181" s="71">
        <f t="shared" si="26"/>
        <v>966141390.54389846</v>
      </c>
    </row>
    <row r="182" spans="2:13" x14ac:dyDescent="0.2">
      <c r="B182" s="72" t="s">
        <v>357</v>
      </c>
      <c r="C182" s="303">
        <f t="shared" ref="C182:I182" si="27">+C177-C181</f>
        <v>20214258.728570402</v>
      </c>
      <c r="D182" s="303">
        <f t="shared" si="27"/>
        <v>26594704.566052973</v>
      </c>
      <c r="E182" s="303">
        <f t="shared" si="27"/>
        <v>33282308.667054057</v>
      </c>
      <c r="F182" s="303">
        <f t="shared" si="27"/>
        <v>40574683.182454824</v>
      </c>
      <c r="G182" s="303">
        <f t="shared" si="27"/>
        <v>46955495.508075595</v>
      </c>
      <c r="H182" s="303">
        <f t="shared" si="27"/>
        <v>57005428.191058159</v>
      </c>
      <c r="I182" s="303">
        <f t="shared" si="27"/>
        <v>67714812.564381242</v>
      </c>
    </row>
    <row r="184" spans="2:13" ht="41.1" customHeight="1" x14ac:dyDescent="0.2">
      <c r="B184" s="491" t="s">
        <v>542</v>
      </c>
      <c r="C184" s="491"/>
      <c r="D184" s="491"/>
      <c r="E184" s="491"/>
      <c r="F184" s="491"/>
      <c r="G184" s="491"/>
      <c r="H184" s="491"/>
      <c r="I184" s="491"/>
      <c r="J184" s="310"/>
      <c r="K184" s="310"/>
      <c r="L184" s="310"/>
      <c r="M184" s="310"/>
    </row>
  </sheetData>
  <mergeCells count="20">
    <mergeCell ref="B184:I184"/>
    <mergeCell ref="B123:I123"/>
    <mergeCell ref="K123:R123"/>
    <mergeCell ref="D20:J20"/>
    <mergeCell ref="D22:J22"/>
    <mergeCell ref="B75:J75"/>
    <mergeCell ref="B88:I88"/>
    <mergeCell ref="B103:J103"/>
    <mergeCell ref="B121:J121"/>
    <mergeCell ref="B105:I105"/>
    <mergeCell ref="B76:I76"/>
    <mergeCell ref="C82:I82"/>
    <mergeCell ref="C83:I83"/>
    <mergeCell ref="C85:I85"/>
    <mergeCell ref="B90:J90"/>
    <mergeCell ref="B5:J5"/>
    <mergeCell ref="B26:I26"/>
    <mergeCell ref="B54:I54"/>
    <mergeCell ref="B24:J24"/>
    <mergeCell ref="B51:J51"/>
  </mergeCells>
  <hyperlinks>
    <hyperlink ref="B24" r:id="rId1" display="https://www.investopedia.com/terms/d/discountrate.asp" xr:uid="{00000000-0004-0000-0900-000000000000}"/>
  </hyperlinks>
  <pageMargins left="0.7" right="0.7" top="0.75" bottom="0.75" header="0.3" footer="0.3"/>
  <pageSetup scale="50" orientation="landscape" r:id="rId2"/>
  <rowBreaks count="3" manualBreakCount="3">
    <brk id="52" min="1" max="9" man="1"/>
    <brk id="75" min="1" max="9" man="1"/>
    <brk id="121" min="1" max="9"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Z119"/>
  <sheetViews>
    <sheetView view="pageBreakPreview" topLeftCell="B9" zoomScale="80" zoomScaleSheetLayoutView="80" workbookViewId="0">
      <selection activeCell="I29" sqref="I29"/>
    </sheetView>
  </sheetViews>
  <sheetFormatPr defaultRowHeight="15" x14ac:dyDescent="0.2"/>
  <cols>
    <col min="1" max="1" width="49.09765625" bestFit="1" customWidth="1"/>
    <col min="2" max="2" width="23.26953125" bestFit="1" customWidth="1"/>
    <col min="3" max="3" width="11.56640625" customWidth="1"/>
    <col min="4" max="4" width="18.83203125" customWidth="1"/>
    <col min="5" max="5" width="15.19921875" customWidth="1"/>
    <col min="6" max="7" width="15.87109375" customWidth="1"/>
    <col min="8" max="8" width="21.25390625" customWidth="1"/>
    <col min="9" max="9" width="11.43359375" bestFit="1" customWidth="1"/>
    <col min="10" max="10" width="19.90625" bestFit="1" customWidth="1"/>
    <col min="11" max="11" width="9.01171875" bestFit="1" customWidth="1"/>
    <col min="12" max="13" width="11.02734375" bestFit="1" customWidth="1"/>
    <col min="14" max="14" width="11.97265625" bestFit="1" customWidth="1"/>
    <col min="15" max="15" width="9.01171875" bestFit="1" customWidth="1"/>
    <col min="16" max="16" width="11.97265625" bestFit="1" customWidth="1"/>
    <col min="17" max="17" width="11.02734375" bestFit="1" customWidth="1"/>
  </cols>
  <sheetData>
    <row r="1" spans="1:26" ht="18" x14ac:dyDescent="0.2">
      <c r="A1" s="451" t="s">
        <v>601</v>
      </c>
      <c r="B1" s="451"/>
      <c r="C1" s="451"/>
      <c r="D1" s="451"/>
      <c r="E1" s="451"/>
      <c r="F1" s="451"/>
      <c r="G1" s="451"/>
      <c r="H1" s="451"/>
    </row>
    <row r="2" spans="1:26" x14ac:dyDescent="0.2">
      <c r="B2" s="3"/>
    </row>
    <row r="3" spans="1:26" ht="18" x14ac:dyDescent="0.2">
      <c r="A3" s="500" t="s">
        <v>570</v>
      </c>
      <c r="B3" s="500"/>
    </row>
    <row r="4" spans="1:26" x14ac:dyDescent="0.2">
      <c r="A4" s="258" t="s">
        <v>0</v>
      </c>
      <c r="B4" s="275" t="s">
        <v>392</v>
      </c>
      <c r="C4" s="276"/>
      <c r="D4" s="276"/>
      <c r="E4" s="276"/>
      <c r="F4" s="276"/>
      <c r="G4" s="276"/>
      <c r="H4" s="276"/>
    </row>
    <row r="5" spans="1:26" x14ac:dyDescent="0.2">
      <c r="A5" s="9" t="s">
        <v>500</v>
      </c>
      <c r="B5" s="393">
        <v>539</v>
      </c>
      <c r="C5" s="277"/>
      <c r="D5" s="278"/>
      <c r="E5" s="278"/>
      <c r="F5" s="278"/>
      <c r="G5" s="278"/>
      <c r="H5" s="278"/>
    </row>
    <row r="6" spans="1:26" x14ac:dyDescent="0.2">
      <c r="A6" s="9" t="s">
        <v>501</v>
      </c>
      <c r="B6" s="393">
        <v>1250</v>
      </c>
      <c r="C6" s="277"/>
      <c r="D6" s="278"/>
      <c r="E6" s="278"/>
      <c r="F6" s="278"/>
      <c r="G6" s="278"/>
      <c r="H6" s="278"/>
    </row>
    <row r="7" spans="1:26" x14ac:dyDescent="0.2">
      <c r="A7" s="1" t="s">
        <v>1</v>
      </c>
      <c r="B7" s="394">
        <f>B5+B6</f>
        <v>1789</v>
      </c>
      <c r="C7" s="279"/>
      <c r="D7" s="280"/>
      <c r="E7" s="280"/>
      <c r="F7" s="280"/>
      <c r="G7" s="280"/>
      <c r="H7" s="280"/>
    </row>
    <row r="8" spans="1:26" x14ac:dyDescent="0.2">
      <c r="A8" s="1" t="s">
        <v>502</v>
      </c>
      <c r="B8" s="394">
        <v>5</v>
      </c>
      <c r="C8" s="279"/>
      <c r="D8" s="279"/>
      <c r="E8" s="279"/>
      <c r="F8" s="279"/>
      <c r="G8" s="279"/>
      <c r="H8" s="279"/>
    </row>
    <row r="9" spans="1:26" x14ac:dyDescent="0.2">
      <c r="A9" s="1" t="s">
        <v>507</v>
      </c>
      <c r="B9" s="300">
        <f>B7*B8</f>
        <v>8945</v>
      </c>
      <c r="C9" s="280"/>
      <c r="D9" s="280"/>
      <c r="E9" s="280"/>
      <c r="F9" s="280"/>
      <c r="G9" s="280"/>
      <c r="H9" s="280"/>
    </row>
    <row r="10" spans="1:26" x14ac:dyDescent="0.2">
      <c r="J10" t="s">
        <v>455</v>
      </c>
      <c r="O10" t="s">
        <v>451</v>
      </c>
      <c r="U10" t="s">
        <v>452</v>
      </c>
      <c r="Y10" t="s">
        <v>453</v>
      </c>
      <c r="Z10" t="s">
        <v>454</v>
      </c>
    </row>
    <row r="11" spans="1:26" ht="18" x14ac:dyDescent="0.2">
      <c r="A11" s="451" t="s">
        <v>571</v>
      </c>
      <c r="B11" s="451"/>
      <c r="C11" s="451"/>
      <c r="D11" s="451"/>
      <c r="E11" s="451"/>
      <c r="F11" s="451"/>
      <c r="G11" s="451"/>
      <c r="H11" s="451"/>
      <c r="I11" s="253"/>
      <c r="J11" s="253"/>
      <c r="K11" s="253"/>
      <c r="L11" s="253"/>
      <c r="M11" s="253"/>
      <c r="N11" s="253"/>
      <c r="O11" s="253"/>
      <c r="P11" s="253"/>
    </row>
    <row r="12" spans="1:26" x14ac:dyDescent="0.2">
      <c r="J12" s="2">
        <v>0.65</v>
      </c>
      <c r="K12" s="271">
        <f>J12+0.05</f>
        <v>0.70000000000000007</v>
      </c>
      <c r="L12" s="271">
        <f t="shared" ref="L12:N12" si="0">K12+0.05</f>
        <v>0.75000000000000011</v>
      </c>
      <c r="M12" s="271">
        <f t="shared" si="0"/>
        <v>0.80000000000000016</v>
      </c>
      <c r="N12" s="271">
        <f t="shared" si="0"/>
        <v>0.8500000000000002</v>
      </c>
      <c r="O12" s="2">
        <v>0.4</v>
      </c>
      <c r="P12" s="2">
        <f>O12+0.05</f>
        <v>0.45</v>
      </c>
      <c r="Q12" s="2">
        <f t="shared" ref="Q12:T12" si="1">P12+0.05</f>
        <v>0.5</v>
      </c>
      <c r="R12" s="2">
        <f t="shared" si="1"/>
        <v>0.55000000000000004</v>
      </c>
      <c r="S12" s="2">
        <f t="shared" si="1"/>
        <v>0.60000000000000009</v>
      </c>
      <c r="T12" s="2">
        <f t="shared" si="1"/>
        <v>0.65000000000000013</v>
      </c>
      <c r="U12" s="2">
        <v>0.1</v>
      </c>
      <c r="V12" s="5">
        <f>U12+0.05</f>
        <v>0.15000000000000002</v>
      </c>
      <c r="W12" s="5">
        <f t="shared" ref="W12:X12" si="2">V12+0.05</f>
        <v>0.2</v>
      </c>
      <c r="X12" s="5">
        <f t="shared" si="2"/>
        <v>0.25</v>
      </c>
    </row>
    <row r="13" spans="1:26" ht="27.75" x14ac:dyDescent="0.2">
      <c r="A13" s="258" t="s">
        <v>396</v>
      </c>
      <c r="B13" s="258" t="s">
        <v>397</v>
      </c>
      <c r="C13" s="259" t="s">
        <v>450</v>
      </c>
      <c r="D13" s="259" t="s">
        <v>456</v>
      </c>
      <c r="E13" s="259" t="s">
        <v>457</v>
      </c>
      <c r="F13" s="259" t="s">
        <v>398</v>
      </c>
      <c r="G13" s="259" t="s">
        <v>645</v>
      </c>
      <c r="H13" s="259" t="s">
        <v>399</v>
      </c>
      <c r="O13" s="270" t="s">
        <v>2</v>
      </c>
      <c r="P13" s="270" t="s">
        <v>3</v>
      </c>
      <c r="Q13" s="270" t="s">
        <v>4</v>
      </c>
      <c r="R13" s="270" t="s">
        <v>5</v>
      </c>
      <c r="S13" s="270" t="s">
        <v>6</v>
      </c>
      <c r="T13" s="270" t="s">
        <v>2</v>
      </c>
      <c r="U13" s="270" t="s">
        <v>3</v>
      </c>
      <c r="V13" s="270" t="s">
        <v>4</v>
      </c>
      <c r="W13" s="270" t="s">
        <v>5</v>
      </c>
      <c r="X13" s="270" t="s">
        <v>6</v>
      </c>
    </row>
    <row r="14" spans="1:26" x14ac:dyDescent="0.2">
      <c r="A14" s="504" t="s">
        <v>400</v>
      </c>
      <c r="B14" s="393" t="s">
        <v>168</v>
      </c>
      <c r="C14" s="395">
        <v>0.2</v>
      </c>
      <c r="D14" s="9">
        <f t="shared" ref="D14:D22" si="3">$B$9*C14</f>
        <v>1789</v>
      </c>
      <c r="E14" s="393">
        <v>7</v>
      </c>
      <c r="F14" s="9">
        <f>D14*E14</f>
        <v>12523</v>
      </c>
      <c r="G14" s="396">
        <v>0.1</v>
      </c>
      <c r="H14" s="9">
        <f>(F14-F14*G14)</f>
        <v>11270.7</v>
      </c>
      <c r="J14">
        <f>$D$14*J12</f>
        <v>1162.8500000000001</v>
      </c>
      <c r="K14">
        <f>$D$14*K12</f>
        <v>1252.3000000000002</v>
      </c>
      <c r="L14">
        <f>$D$14*L12</f>
        <v>1341.7500000000002</v>
      </c>
      <c r="M14">
        <f>$D$14*M12</f>
        <v>1431.2000000000003</v>
      </c>
      <c r="N14">
        <f>$D$14*N12</f>
        <v>1520.6500000000003</v>
      </c>
    </row>
    <row r="15" spans="1:26" x14ac:dyDescent="0.2">
      <c r="A15" s="505"/>
      <c r="B15" s="393" t="s">
        <v>480</v>
      </c>
      <c r="C15" s="395">
        <v>0.5</v>
      </c>
      <c r="D15" s="9">
        <f t="shared" si="3"/>
        <v>4472.5</v>
      </c>
      <c r="E15" s="393">
        <v>9</v>
      </c>
      <c r="F15" s="9">
        <f t="shared" ref="F15:F22" si="4">D15*E15</f>
        <v>40252.5</v>
      </c>
      <c r="G15" s="396">
        <v>0.05</v>
      </c>
      <c r="H15" s="9">
        <f>(F15-F15*G15)</f>
        <v>38239.875</v>
      </c>
    </row>
    <row r="16" spans="1:26" x14ac:dyDescent="0.2">
      <c r="A16" s="505"/>
      <c r="B16" s="393" t="s">
        <v>479</v>
      </c>
      <c r="C16" s="395">
        <v>0</v>
      </c>
      <c r="D16" s="9">
        <f t="shared" si="3"/>
        <v>0</v>
      </c>
      <c r="E16" s="393">
        <v>0</v>
      </c>
      <c r="F16" s="9">
        <f t="shared" si="4"/>
        <v>0</v>
      </c>
      <c r="G16" s="396">
        <v>0</v>
      </c>
      <c r="H16" s="9">
        <f t="shared" ref="H16:H36" si="5">(F16-F16*G16)</f>
        <v>0</v>
      </c>
    </row>
    <row r="17" spans="1:10" x14ac:dyDescent="0.2">
      <c r="A17" s="505"/>
      <c r="B17" s="393" t="s">
        <v>477</v>
      </c>
      <c r="C17" s="395">
        <v>0.25</v>
      </c>
      <c r="D17" s="9">
        <f t="shared" si="3"/>
        <v>2236.25</v>
      </c>
      <c r="E17" s="393">
        <v>5</v>
      </c>
      <c r="F17" s="9">
        <f t="shared" si="4"/>
        <v>11181.25</v>
      </c>
      <c r="G17" s="396">
        <v>0.02</v>
      </c>
      <c r="H17" s="9">
        <f t="shared" si="5"/>
        <v>10957.625</v>
      </c>
    </row>
    <row r="18" spans="1:10" x14ac:dyDescent="0.2">
      <c r="A18" s="505"/>
      <c r="B18" s="393" t="s">
        <v>401</v>
      </c>
      <c r="C18" s="395">
        <v>0</v>
      </c>
      <c r="D18" s="9">
        <f t="shared" si="3"/>
        <v>0</v>
      </c>
      <c r="E18" s="393">
        <v>20</v>
      </c>
      <c r="F18" s="9">
        <f t="shared" si="4"/>
        <v>0</v>
      </c>
      <c r="G18" s="396">
        <v>0</v>
      </c>
      <c r="H18" s="9">
        <f t="shared" si="5"/>
        <v>0</v>
      </c>
    </row>
    <row r="19" spans="1:10" x14ac:dyDescent="0.2">
      <c r="A19" s="505"/>
      <c r="B19" s="393" t="s">
        <v>478</v>
      </c>
      <c r="C19" s="395">
        <v>0.02</v>
      </c>
      <c r="D19" s="9">
        <f t="shared" si="3"/>
        <v>178.9</v>
      </c>
      <c r="E19" s="393">
        <v>5</v>
      </c>
      <c r="F19" s="9">
        <f t="shared" si="4"/>
        <v>894.5</v>
      </c>
      <c r="G19" s="396">
        <v>0.1</v>
      </c>
      <c r="H19" s="9">
        <f t="shared" si="5"/>
        <v>805.05</v>
      </c>
    </row>
    <row r="20" spans="1:10" x14ac:dyDescent="0.2">
      <c r="A20" s="505"/>
      <c r="B20" s="393" t="s">
        <v>471</v>
      </c>
      <c r="C20" s="395">
        <v>0.02</v>
      </c>
      <c r="D20" s="9">
        <f t="shared" si="3"/>
        <v>178.9</v>
      </c>
      <c r="E20" s="393">
        <v>5</v>
      </c>
      <c r="F20" s="9">
        <f t="shared" si="4"/>
        <v>894.5</v>
      </c>
      <c r="G20" s="396">
        <v>0.02</v>
      </c>
      <c r="H20" s="9">
        <f t="shared" si="5"/>
        <v>876.61</v>
      </c>
    </row>
    <row r="21" spans="1:10" x14ac:dyDescent="0.2">
      <c r="A21" s="505"/>
      <c r="B21" s="393" t="s">
        <v>405</v>
      </c>
      <c r="C21" s="395">
        <v>0</v>
      </c>
      <c r="D21" s="9">
        <f t="shared" si="3"/>
        <v>0</v>
      </c>
      <c r="E21" s="393"/>
      <c r="F21" s="9">
        <f t="shared" si="4"/>
        <v>0</v>
      </c>
      <c r="G21" s="396">
        <v>0</v>
      </c>
      <c r="H21" s="9">
        <f t="shared" si="5"/>
        <v>0</v>
      </c>
    </row>
    <row r="22" spans="1:10" x14ac:dyDescent="0.2">
      <c r="A22" s="506"/>
      <c r="B22" s="393" t="s">
        <v>481</v>
      </c>
      <c r="C22" s="395">
        <v>0.01</v>
      </c>
      <c r="D22" s="9">
        <f t="shared" si="3"/>
        <v>89.45</v>
      </c>
      <c r="E22" s="393"/>
      <c r="F22" s="9">
        <f t="shared" si="4"/>
        <v>0</v>
      </c>
      <c r="G22" s="396">
        <v>0</v>
      </c>
      <c r="H22" s="9">
        <f>'11.F&amp;V Crop Production details'!H83</f>
        <v>0</v>
      </c>
    </row>
    <row r="23" spans="1:10" x14ac:dyDescent="0.2">
      <c r="A23" s="283" t="s">
        <v>485</v>
      </c>
      <c r="B23" s="396">
        <v>1</v>
      </c>
      <c r="C23" s="397">
        <f>B9*B23</f>
        <v>8945</v>
      </c>
      <c r="D23" s="9"/>
      <c r="E23" s="393"/>
      <c r="F23" s="9"/>
      <c r="G23" s="396"/>
      <c r="H23" s="9"/>
    </row>
    <row r="24" spans="1:10" x14ac:dyDescent="0.2">
      <c r="A24" s="504" t="s">
        <v>402</v>
      </c>
      <c r="B24" s="393" t="s">
        <v>403</v>
      </c>
      <c r="C24" s="395">
        <v>0.2</v>
      </c>
      <c r="D24" s="9">
        <f>C$23*C24</f>
        <v>1789</v>
      </c>
      <c r="E24" s="393">
        <v>12</v>
      </c>
      <c r="F24" s="9">
        <f t="shared" ref="F24:F36" si="6">D24*E24</f>
        <v>21468</v>
      </c>
      <c r="G24" s="396">
        <v>0.1</v>
      </c>
      <c r="H24" s="9">
        <f t="shared" si="5"/>
        <v>19321.2</v>
      </c>
    </row>
    <row r="25" spans="1:10" x14ac:dyDescent="0.2">
      <c r="A25" s="505"/>
      <c r="B25" s="393" t="s">
        <v>404</v>
      </c>
      <c r="C25" s="395">
        <v>0.4</v>
      </c>
      <c r="D25" s="9">
        <f>C$23*C25</f>
        <v>3578</v>
      </c>
      <c r="E25" s="393">
        <v>9</v>
      </c>
      <c r="F25" s="9">
        <f t="shared" si="6"/>
        <v>32202</v>
      </c>
      <c r="G25" s="396">
        <v>0.1</v>
      </c>
      <c r="H25" s="9">
        <f t="shared" si="5"/>
        <v>28981.8</v>
      </c>
    </row>
    <row r="26" spans="1:10" x14ac:dyDescent="0.2">
      <c r="A26" s="505"/>
      <c r="B26" s="393" t="s">
        <v>405</v>
      </c>
      <c r="C26" s="395">
        <v>0.2</v>
      </c>
      <c r="D26" s="9">
        <f>C$23*C26</f>
        <v>1789</v>
      </c>
      <c r="E26" s="393">
        <v>13</v>
      </c>
      <c r="F26" s="9">
        <f t="shared" si="6"/>
        <v>23257</v>
      </c>
      <c r="G26" s="396">
        <v>0.05</v>
      </c>
      <c r="H26" s="9">
        <f t="shared" si="5"/>
        <v>22094.15</v>
      </c>
    </row>
    <row r="27" spans="1:10" x14ac:dyDescent="0.2">
      <c r="A27" s="505"/>
      <c r="B27" s="393" t="s">
        <v>401</v>
      </c>
      <c r="C27" s="395">
        <v>0.02</v>
      </c>
      <c r="D27" s="9">
        <f t="shared" ref="D27:D31" si="7">C$23*C27</f>
        <v>178.9</v>
      </c>
      <c r="E27" s="393">
        <v>20</v>
      </c>
      <c r="F27" s="9">
        <f t="shared" si="6"/>
        <v>3578</v>
      </c>
      <c r="G27" s="396">
        <v>0</v>
      </c>
      <c r="H27" s="9">
        <f t="shared" si="5"/>
        <v>3578</v>
      </c>
      <c r="J27">
        <f>12523+40252+11181+894+494+21468+32202+23257+3578</f>
        <v>145849</v>
      </c>
    </row>
    <row r="28" spans="1:10" x14ac:dyDescent="0.2">
      <c r="A28" s="505"/>
      <c r="B28" s="393" t="s">
        <v>482</v>
      </c>
      <c r="C28" s="395">
        <v>0</v>
      </c>
      <c r="D28" s="9">
        <f t="shared" si="7"/>
        <v>0</v>
      </c>
      <c r="E28" s="393">
        <v>5</v>
      </c>
      <c r="F28" s="9">
        <f t="shared" si="6"/>
        <v>0</v>
      </c>
      <c r="G28" s="396">
        <v>0</v>
      </c>
      <c r="H28" s="9">
        <f t="shared" si="5"/>
        <v>0</v>
      </c>
      <c r="J28">
        <f>J27/10</f>
        <v>14584.9</v>
      </c>
    </row>
    <row r="29" spans="1:10" x14ac:dyDescent="0.2">
      <c r="A29" s="505"/>
      <c r="B29" s="393"/>
      <c r="C29" s="395">
        <v>0</v>
      </c>
      <c r="D29" s="9">
        <f t="shared" si="7"/>
        <v>0</v>
      </c>
      <c r="E29" s="393"/>
      <c r="F29" s="9">
        <f t="shared" si="6"/>
        <v>0</v>
      </c>
      <c r="G29" s="396">
        <v>0</v>
      </c>
      <c r="H29" s="9">
        <f t="shared" si="5"/>
        <v>0</v>
      </c>
    </row>
    <row r="30" spans="1:10" x14ac:dyDescent="0.2">
      <c r="A30" s="505"/>
      <c r="B30" s="393"/>
      <c r="C30" s="395">
        <v>0</v>
      </c>
      <c r="D30" s="9">
        <f t="shared" si="7"/>
        <v>0</v>
      </c>
      <c r="E30" s="393"/>
      <c r="F30" s="9">
        <f t="shared" si="6"/>
        <v>0</v>
      </c>
      <c r="G30" s="396">
        <v>0</v>
      </c>
      <c r="H30" s="9">
        <f t="shared" si="5"/>
        <v>0</v>
      </c>
    </row>
    <row r="31" spans="1:10" x14ac:dyDescent="0.2">
      <c r="A31" s="506"/>
      <c r="B31" s="393"/>
      <c r="C31" s="395">
        <v>0</v>
      </c>
      <c r="D31" s="9">
        <f t="shared" si="7"/>
        <v>0</v>
      </c>
      <c r="E31" s="393"/>
      <c r="F31" s="9">
        <f t="shared" si="6"/>
        <v>0</v>
      </c>
      <c r="G31" s="396">
        <v>0</v>
      </c>
      <c r="H31" s="9">
        <f t="shared" si="5"/>
        <v>0</v>
      </c>
    </row>
    <row r="32" spans="1:10" x14ac:dyDescent="0.2">
      <c r="A32" s="283" t="s">
        <v>484</v>
      </c>
      <c r="B32" s="396">
        <v>0</v>
      </c>
      <c r="C32" s="393">
        <f>B9*B32</f>
        <v>0</v>
      </c>
      <c r="D32" s="9"/>
      <c r="E32" s="393"/>
      <c r="F32" s="9"/>
      <c r="G32" s="396"/>
      <c r="H32" s="9"/>
    </row>
    <row r="33" spans="1:8" x14ac:dyDescent="0.2">
      <c r="A33" s="295" t="s">
        <v>462</v>
      </c>
      <c r="B33" s="393" t="s">
        <v>483</v>
      </c>
      <c r="C33" s="395">
        <v>0</v>
      </c>
      <c r="D33" s="9">
        <f>C$32*C33</f>
        <v>0</v>
      </c>
      <c r="E33" s="393"/>
      <c r="F33" s="9">
        <f t="shared" si="6"/>
        <v>0</v>
      </c>
      <c r="G33" s="396">
        <v>0</v>
      </c>
      <c r="H33" s="9">
        <f t="shared" si="5"/>
        <v>0</v>
      </c>
    </row>
    <row r="34" spans="1:8" x14ac:dyDescent="0.2">
      <c r="A34" s="296"/>
      <c r="B34" s="393"/>
      <c r="C34" s="395">
        <v>0</v>
      </c>
      <c r="D34" s="9">
        <f>C$32*C34</f>
        <v>0</v>
      </c>
      <c r="E34" s="393"/>
      <c r="F34" s="9">
        <f t="shared" si="6"/>
        <v>0</v>
      </c>
      <c r="G34" s="396">
        <v>0</v>
      </c>
      <c r="H34" s="9">
        <f t="shared" si="5"/>
        <v>0</v>
      </c>
    </row>
    <row r="35" spans="1:8" x14ac:dyDescent="0.2">
      <c r="A35" s="296"/>
      <c r="B35" s="393"/>
      <c r="C35" s="395">
        <v>0</v>
      </c>
      <c r="D35" s="9">
        <f>C$32*C35</f>
        <v>0</v>
      </c>
      <c r="E35" s="393"/>
      <c r="F35" s="9">
        <f t="shared" si="6"/>
        <v>0</v>
      </c>
      <c r="G35" s="396">
        <v>0</v>
      </c>
      <c r="H35" s="9">
        <f t="shared" si="5"/>
        <v>0</v>
      </c>
    </row>
    <row r="36" spans="1:8" x14ac:dyDescent="0.2">
      <c r="A36" s="297"/>
      <c r="B36" s="393"/>
      <c r="C36" s="395">
        <v>0</v>
      </c>
      <c r="D36" s="9">
        <f>C$32*C36</f>
        <v>0</v>
      </c>
      <c r="E36" s="393"/>
      <c r="F36" s="9">
        <f t="shared" si="6"/>
        <v>0</v>
      </c>
      <c r="G36" s="396">
        <v>0</v>
      </c>
      <c r="H36" s="9">
        <f t="shared" si="5"/>
        <v>0</v>
      </c>
    </row>
    <row r="37" spans="1:8" x14ac:dyDescent="0.2">
      <c r="A37" s="503" t="s">
        <v>406</v>
      </c>
      <c r="B37" s="503"/>
      <c r="C37" s="503"/>
      <c r="D37" s="503"/>
      <c r="E37" s="503"/>
      <c r="F37" s="503"/>
      <c r="G37" s="503"/>
      <c r="H37" s="503"/>
    </row>
    <row r="39" spans="1:8" ht="18" x14ac:dyDescent="0.2">
      <c r="A39" s="507" t="s">
        <v>572</v>
      </c>
      <c r="B39" s="508"/>
      <c r="C39" s="508"/>
      <c r="D39" s="508"/>
      <c r="E39" s="508"/>
      <c r="F39" s="508"/>
      <c r="G39" s="508"/>
      <c r="H39" s="509"/>
    </row>
    <row r="40" spans="1:8" x14ac:dyDescent="0.2">
      <c r="A40" s="510" t="s">
        <v>0</v>
      </c>
      <c r="B40" s="398">
        <v>0.2</v>
      </c>
      <c r="C40" s="398">
        <f>B40+0.05</f>
        <v>0.25</v>
      </c>
      <c r="D40" s="398">
        <f t="shared" ref="D40:G40" si="8">C40+0.05</f>
        <v>0.3</v>
      </c>
      <c r="E40" s="398">
        <f t="shared" si="8"/>
        <v>0.35</v>
      </c>
      <c r="F40" s="398">
        <f t="shared" si="8"/>
        <v>0.39999999999999997</v>
      </c>
      <c r="G40" s="398">
        <f t="shared" si="8"/>
        <v>0.44999999999999996</v>
      </c>
      <c r="H40" s="398">
        <f>G40+0.05</f>
        <v>0.49999999999999994</v>
      </c>
    </row>
    <row r="41" spans="1:8" x14ac:dyDescent="0.2">
      <c r="A41" s="511"/>
      <c r="B41" s="275" t="s">
        <v>2</v>
      </c>
      <c r="C41" s="275" t="s">
        <v>3</v>
      </c>
      <c r="D41" s="275" t="s">
        <v>4</v>
      </c>
      <c r="E41" s="275" t="s">
        <v>5</v>
      </c>
      <c r="F41" s="275" t="s">
        <v>6</v>
      </c>
      <c r="G41" s="275" t="s">
        <v>170</v>
      </c>
      <c r="H41" s="275" t="s">
        <v>169</v>
      </c>
    </row>
    <row r="42" spans="1:8" x14ac:dyDescent="0.2">
      <c r="A42" s="9" t="str">
        <f t="shared" ref="A42:A50" si="9">B14</f>
        <v>Soybean</v>
      </c>
      <c r="B42" s="9">
        <f t="shared" ref="B42:B50" si="10">H14*$B$40</f>
        <v>2254.1400000000003</v>
      </c>
      <c r="C42" s="9">
        <f t="shared" ref="C42:H51" si="11">(B42/B$40)*C$40</f>
        <v>2817.6750000000002</v>
      </c>
      <c r="D42" s="9">
        <f t="shared" si="11"/>
        <v>3381.21</v>
      </c>
      <c r="E42" s="9">
        <f t="shared" si="11"/>
        <v>3944.7449999999999</v>
      </c>
      <c r="F42" s="9">
        <f t="shared" si="11"/>
        <v>4508.28</v>
      </c>
      <c r="G42" s="9">
        <f t="shared" si="11"/>
        <v>5071.8149999999996</v>
      </c>
      <c r="H42" s="9">
        <f t="shared" si="11"/>
        <v>5635.3499999999995</v>
      </c>
    </row>
    <row r="43" spans="1:8" x14ac:dyDescent="0.2">
      <c r="A43" s="9" t="str">
        <f t="shared" si="9"/>
        <v>Red Gram/Tur</v>
      </c>
      <c r="B43" s="9">
        <f t="shared" si="10"/>
        <v>7647.9750000000004</v>
      </c>
      <c r="C43" s="9">
        <f t="shared" si="11"/>
        <v>9559.96875</v>
      </c>
      <c r="D43" s="9">
        <f t="shared" si="11"/>
        <v>11471.9625</v>
      </c>
      <c r="E43" s="9">
        <f t="shared" si="11"/>
        <v>13383.956249999999</v>
      </c>
      <c r="F43" s="9">
        <f t="shared" si="11"/>
        <v>15295.949999999999</v>
      </c>
      <c r="G43" s="9">
        <f t="shared" si="11"/>
        <v>17207.943749999999</v>
      </c>
      <c r="H43" s="9">
        <f t="shared" si="11"/>
        <v>19119.937499999996</v>
      </c>
    </row>
    <row r="44" spans="1:8" x14ac:dyDescent="0.2">
      <c r="A44" s="9" t="str">
        <f t="shared" si="9"/>
        <v>Paddy/Rice</v>
      </c>
      <c r="B44" s="9">
        <f t="shared" si="10"/>
        <v>0</v>
      </c>
      <c r="C44" s="9">
        <f t="shared" si="11"/>
        <v>0</v>
      </c>
      <c r="D44" s="9">
        <f t="shared" si="11"/>
        <v>0</v>
      </c>
      <c r="E44" s="9">
        <f t="shared" si="11"/>
        <v>0</v>
      </c>
      <c r="F44" s="9">
        <f t="shared" si="11"/>
        <v>0</v>
      </c>
      <c r="G44" s="9">
        <f t="shared" si="11"/>
        <v>0</v>
      </c>
      <c r="H44" s="9">
        <f t="shared" si="11"/>
        <v>0</v>
      </c>
    </row>
    <row r="45" spans="1:8" x14ac:dyDescent="0.2">
      <c r="A45" s="9" t="str">
        <f t="shared" si="9"/>
        <v>Green Gram/ Moong</v>
      </c>
      <c r="B45" s="9">
        <f t="shared" si="10"/>
        <v>2191.5250000000001</v>
      </c>
      <c r="C45" s="9">
        <f t="shared" si="11"/>
        <v>2739.40625</v>
      </c>
      <c r="D45" s="9">
        <f t="shared" si="11"/>
        <v>3287.2874999999999</v>
      </c>
      <c r="E45" s="9">
        <f t="shared" si="11"/>
        <v>3835.1687499999998</v>
      </c>
      <c r="F45" s="9">
        <f t="shared" si="11"/>
        <v>4383.0499999999993</v>
      </c>
      <c r="G45" s="9">
        <f t="shared" si="11"/>
        <v>4930.9312499999996</v>
      </c>
      <c r="H45" s="9">
        <f t="shared" si="11"/>
        <v>5478.8124999999991</v>
      </c>
    </row>
    <row r="46" spans="1:8" x14ac:dyDescent="0.2">
      <c r="A46" s="9" t="str">
        <f t="shared" si="9"/>
        <v>Maize</v>
      </c>
      <c r="B46" s="9">
        <f t="shared" si="10"/>
        <v>0</v>
      </c>
      <c r="C46" s="9">
        <f t="shared" si="11"/>
        <v>0</v>
      </c>
      <c r="D46" s="9">
        <f t="shared" si="11"/>
        <v>0</v>
      </c>
      <c r="E46" s="9">
        <f t="shared" si="11"/>
        <v>0</v>
      </c>
      <c r="F46" s="9">
        <f t="shared" si="11"/>
        <v>0</v>
      </c>
      <c r="G46" s="9">
        <f t="shared" si="11"/>
        <v>0</v>
      </c>
      <c r="H46" s="9">
        <f t="shared" si="11"/>
        <v>0</v>
      </c>
    </row>
    <row r="47" spans="1:8" x14ac:dyDescent="0.2">
      <c r="A47" s="9" t="str">
        <f t="shared" si="9"/>
        <v>Black Gram/Udid</v>
      </c>
      <c r="B47" s="9">
        <f t="shared" si="10"/>
        <v>161.01</v>
      </c>
      <c r="C47" s="9">
        <f t="shared" si="11"/>
        <v>201.26249999999999</v>
      </c>
      <c r="D47" s="9">
        <f t="shared" si="11"/>
        <v>241.51499999999999</v>
      </c>
      <c r="E47" s="9">
        <f t="shared" si="11"/>
        <v>281.76749999999998</v>
      </c>
      <c r="F47" s="9">
        <f t="shared" si="11"/>
        <v>322.02</v>
      </c>
      <c r="G47" s="9">
        <f t="shared" si="11"/>
        <v>362.27249999999998</v>
      </c>
      <c r="H47" s="9">
        <f t="shared" si="11"/>
        <v>402.52499999999998</v>
      </c>
    </row>
    <row r="48" spans="1:8" x14ac:dyDescent="0.2">
      <c r="A48" s="9" t="str">
        <f t="shared" si="9"/>
        <v>Bajra</v>
      </c>
      <c r="B48" s="9">
        <f t="shared" si="10"/>
        <v>175.322</v>
      </c>
      <c r="C48" s="9">
        <f t="shared" si="11"/>
        <v>219.1525</v>
      </c>
      <c r="D48" s="9">
        <f t="shared" si="11"/>
        <v>262.983</v>
      </c>
      <c r="E48" s="9">
        <f t="shared" si="11"/>
        <v>306.81349999999998</v>
      </c>
      <c r="F48" s="9">
        <f t="shared" si="11"/>
        <v>350.64399999999995</v>
      </c>
      <c r="G48" s="9">
        <f t="shared" si="11"/>
        <v>394.47449999999992</v>
      </c>
      <c r="H48" s="9">
        <f t="shared" si="11"/>
        <v>438.30499999999989</v>
      </c>
    </row>
    <row r="49" spans="1:18" x14ac:dyDescent="0.2">
      <c r="A49" s="9" t="str">
        <f t="shared" si="9"/>
        <v>Jawar</v>
      </c>
      <c r="B49" s="9">
        <f t="shared" si="10"/>
        <v>0</v>
      </c>
      <c r="C49" s="9">
        <f t="shared" si="11"/>
        <v>0</v>
      </c>
      <c r="D49" s="9">
        <f t="shared" si="11"/>
        <v>0</v>
      </c>
      <c r="E49" s="9">
        <f t="shared" si="11"/>
        <v>0</v>
      </c>
      <c r="F49" s="9">
        <f t="shared" si="11"/>
        <v>0</v>
      </c>
      <c r="G49" s="9">
        <f t="shared" si="11"/>
        <v>0</v>
      </c>
      <c r="H49" s="9">
        <f t="shared" si="11"/>
        <v>0</v>
      </c>
    </row>
    <row r="50" spans="1:18" x14ac:dyDescent="0.2">
      <c r="A50" s="9" t="str">
        <f t="shared" si="9"/>
        <v>Sunflower</v>
      </c>
      <c r="B50" s="9">
        <f t="shared" si="10"/>
        <v>0</v>
      </c>
      <c r="C50" s="9">
        <f t="shared" si="11"/>
        <v>0</v>
      </c>
      <c r="D50" s="9">
        <f t="shared" si="11"/>
        <v>0</v>
      </c>
      <c r="E50" s="9">
        <f t="shared" si="11"/>
        <v>0</v>
      </c>
      <c r="F50" s="9">
        <f t="shared" si="11"/>
        <v>0</v>
      </c>
      <c r="G50" s="9">
        <f t="shared" si="11"/>
        <v>0</v>
      </c>
      <c r="H50" s="9">
        <f t="shared" si="11"/>
        <v>0</v>
      </c>
    </row>
    <row r="51" spans="1:18" x14ac:dyDescent="0.2">
      <c r="A51" s="9" t="str">
        <f t="shared" ref="A51:A58" si="12">B24</f>
        <v>Wheat</v>
      </c>
      <c r="B51" s="9">
        <f t="shared" ref="B51:B58" si="13">H24*$B$40</f>
        <v>3864.2400000000002</v>
      </c>
      <c r="C51" s="9">
        <f t="shared" si="11"/>
        <v>4830.3</v>
      </c>
      <c r="D51" s="9">
        <f t="shared" si="11"/>
        <v>5796.36</v>
      </c>
      <c r="E51" s="9">
        <f t="shared" si="11"/>
        <v>6762.42</v>
      </c>
      <c r="F51" s="9">
        <f t="shared" si="11"/>
        <v>7728.48</v>
      </c>
      <c r="G51" s="9">
        <f t="shared" si="11"/>
        <v>8694.5399999999991</v>
      </c>
      <c r="H51" s="9">
        <f t="shared" si="11"/>
        <v>9660.5999999999985</v>
      </c>
    </row>
    <row r="52" spans="1:18" x14ac:dyDescent="0.2">
      <c r="A52" s="9" t="str">
        <f t="shared" si="12"/>
        <v>Bengal Gram/Channa</v>
      </c>
      <c r="B52" s="9">
        <f t="shared" si="13"/>
        <v>5796.3600000000006</v>
      </c>
      <c r="C52" s="9">
        <f t="shared" ref="C52:H61" si="14">(B52/B$40)*C$40</f>
        <v>7245.4500000000007</v>
      </c>
      <c r="D52" s="9">
        <f t="shared" si="14"/>
        <v>8694.5400000000009</v>
      </c>
      <c r="E52" s="9">
        <f t="shared" si="14"/>
        <v>10143.630000000001</v>
      </c>
      <c r="F52" s="9">
        <f t="shared" si="14"/>
        <v>11592.720000000001</v>
      </c>
      <c r="G52" s="9">
        <f t="shared" si="14"/>
        <v>13041.810000000001</v>
      </c>
      <c r="H52" s="9">
        <f t="shared" si="14"/>
        <v>14490.900000000001</v>
      </c>
    </row>
    <row r="53" spans="1:18" x14ac:dyDescent="0.2">
      <c r="A53" s="9" t="str">
        <f t="shared" si="12"/>
        <v>Jawar</v>
      </c>
      <c r="B53" s="9">
        <f t="shared" si="13"/>
        <v>4418.8300000000008</v>
      </c>
      <c r="C53" s="9">
        <f t="shared" si="14"/>
        <v>5523.5375000000004</v>
      </c>
      <c r="D53" s="9">
        <f t="shared" si="14"/>
        <v>6628.2449999999999</v>
      </c>
      <c r="E53" s="9">
        <f t="shared" si="14"/>
        <v>7732.9525000000003</v>
      </c>
      <c r="F53" s="9">
        <f t="shared" si="14"/>
        <v>8837.66</v>
      </c>
      <c r="G53" s="9">
        <f t="shared" si="14"/>
        <v>9942.3675000000003</v>
      </c>
      <c r="H53" s="9">
        <f t="shared" si="14"/>
        <v>11047.074999999999</v>
      </c>
    </row>
    <row r="54" spans="1:18" x14ac:dyDescent="0.2">
      <c r="A54" s="9" t="str">
        <f t="shared" si="12"/>
        <v>Maize</v>
      </c>
      <c r="B54" s="9">
        <f t="shared" si="13"/>
        <v>715.6</v>
      </c>
      <c r="C54" s="9">
        <f t="shared" si="14"/>
        <v>894.5</v>
      </c>
      <c r="D54" s="9">
        <f t="shared" si="14"/>
        <v>1073.3999999999999</v>
      </c>
      <c r="E54" s="9">
        <f t="shared" si="14"/>
        <v>1252.2999999999997</v>
      </c>
      <c r="F54" s="9">
        <f t="shared" si="14"/>
        <v>1431.1999999999996</v>
      </c>
      <c r="G54" s="9">
        <f t="shared" si="14"/>
        <v>1610.0999999999995</v>
      </c>
      <c r="H54" s="9">
        <f t="shared" si="14"/>
        <v>1788.9999999999993</v>
      </c>
    </row>
    <row r="55" spans="1:18" x14ac:dyDescent="0.2">
      <c r="A55" s="9" t="str">
        <f t="shared" si="12"/>
        <v>Safflower</v>
      </c>
      <c r="B55" s="9">
        <f t="shared" si="13"/>
        <v>0</v>
      </c>
      <c r="C55" s="9">
        <f t="shared" si="14"/>
        <v>0</v>
      </c>
      <c r="D55" s="9">
        <f t="shared" si="14"/>
        <v>0</v>
      </c>
      <c r="E55" s="9">
        <f t="shared" si="14"/>
        <v>0</v>
      </c>
      <c r="F55" s="9">
        <f t="shared" si="14"/>
        <v>0</v>
      </c>
      <c r="G55" s="9">
        <f t="shared" si="14"/>
        <v>0</v>
      </c>
      <c r="H55" s="9">
        <f t="shared" si="14"/>
        <v>0</v>
      </c>
    </row>
    <row r="56" spans="1:18" x14ac:dyDescent="0.2">
      <c r="A56" s="9">
        <f t="shared" si="12"/>
        <v>0</v>
      </c>
      <c r="B56" s="9">
        <f t="shared" si="13"/>
        <v>0</v>
      </c>
      <c r="C56" s="9">
        <f t="shared" si="14"/>
        <v>0</v>
      </c>
      <c r="D56" s="9">
        <f t="shared" si="14"/>
        <v>0</v>
      </c>
      <c r="E56" s="9">
        <f t="shared" si="14"/>
        <v>0</v>
      </c>
      <c r="F56" s="9">
        <f t="shared" si="14"/>
        <v>0</v>
      </c>
      <c r="G56" s="9">
        <f t="shared" si="14"/>
        <v>0</v>
      </c>
      <c r="H56" s="9">
        <f t="shared" si="14"/>
        <v>0</v>
      </c>
    </row>
    <row r="57" spans="1:18" x14ac:dyDescent="0.2">
      <c r="A57" s="9">
        <f t="shared" si="12"/>
        <v>0</v>
      </c>
      <c r="B57" s="9">
        <f t="shared" si="13"/>
        <v>0</v>
      </c>
      <c r="C57" s="9">
        <f t="shared" si="14"/>
        <v>0</v>
      </c>
      <c r="D57" s="9">
        <f t="shared" si="14"/>
        <v>0</v>
      </c>
      <c r="E57" s="9">
        <f t="shared" si="14"/>
        <v>0</v>
      </c>
      <c r="F57" s="9">
        <f t="shared" si="14"/>
        <v>0</v>
      </c>
      <c r="G57" s="9">
        <f t="shared" si="14"/>
        <v>0</v>
      </c>
      <c r="H57" s="9">
        <f t="shared" si="14"/>
        <v>0</v>
      </c>
    </row>
    <row r="58" spans="1:18" x14ac:dyDescent="0.2">
      <c r="A58" s="9">
        <f t="shared" si="12"/>
        <v>0</v>
      </c>
      <c r="B58" s="9">
        <f t="shared" si="13"/>
        <v>0</v>
      </c>
      <c r="C58" s="9">
        <f t="shared" si="14"/>
        <v>0</v>
      </c>
      <c r="D58" s="9">
        <f t="shared" si="14"/>
        <v>0</v>
      </c>
      <c r="E58" s="9">
        <f t="shared" si="14"/>
        <v>0</v>
      </c>
      <c r="F58" s="9">
        <f t="shared" si="14"/>
        <v>0</v>
      </c>
      <c r="G58" s="9">
        <f t="shared" si="14"/>
        <v>0</v>
      </c>
      <c r="H58" s="9">
        <f t="shared" si="14"/>
        <v>0</v>
      </c>
      <c r="L58" s="419"/>
      <c r="M58" s="419"/>
      <c r="N58" s="419"/>
      <c r="O58" s="419"/>
      <c r="R58" s="418"/>
    </row>
    <row r="59" spans="1:18" x14ac:dyDescent="0.2">
      <c r="A59" s="9" t="str">
        <f>B33</f>
        <v>Groundnut</v>
      </c>
      <c r="B59" s="9">
        <f>H33*$B$40</f>
        <v>0</v>
      </c>
      <c r="C59" s="9">
        <f t="shared" si="14"/>
        <v>0</v>
      </c>
      <c r="D59" s="9">
        <f t="shared" si="14"/>
        <v>0</v>
      </c>
      <c r="E59" s="9">
        <f t="shared" si="14"/>
        <v>0</v>
      </c>
      <c r="F59" s="9">
        <f t="shared" si="14"/>
        <v>0</v>
      </c>
      <c r="G59" s="9">
        <f t="shared" si="14"/>
        <v>0</v>
      </c>
      <c r="H59" s="9">
        <f t="shared" si="14"/>
        <v>0</v>
      </c>
      <c r="L59" s="419"/>
      <c r="M59" s="419"/>
      <c r="N59" s="419"/>
      <c r="O59" s="419"/>
      <c r="R59" s="418"/>
    </row>
    <row r="60" spans="1:18" x14ac:dyDescent="0.2">
      <c r="A60" s="9">
        <f>B34</f>
        <v>0</v>
      </c>
      <c r="B60" s="9">
        <f>H34*$B$40</f>
        <v>0</v>
      </c>
      <c r="C60" s="9">
        <f t="shared" si="14"/>
        <v>0</v>
      </c>
      <c r="D60" s="9">
        <f t="shared" si="14"/>
        <v>0</v>
      </c>
      <c r="E60" s="9">
        <f t="shared" si="14"/>
        <v>0</v>
      </c>
      <c r="F60" s="9">
        <f t="shared" si="14"/>
        <v>0</v>
      </c>
      <c r="G60" s="9">
        <f t="shared" si="14"/>
        <v>0</v>
      </c>
      <c r="H60" s="9">
        <f t="shared" si="14"/>
        <v>0</v>
      </c>
      <c r="L60" s="419"/>
      <c r="M60" s="419"/>
      <c r="N60" s="419"/>
      <c r="O60" s="419"/>
      <c r="R60" s="418"/>
    </row>
    <row r="61" spans="1:18" x14ac:dyDescent="0.2">
      <c r="A61" s="9">
        <f>B35</f>
        <v>0</v>
      </c>
      <c r="B61" s="9">
        <f>H35*$B$40</f>
        <v>0</v>
      </c>
      <c r="C61" s="9">
        <f t="shared" si="14"/>
        <v>0</v>
      </c>
      <c r="D61" s="9">
        <f t="shared" si="14"/>
        <v>0</v>
      </c>
      <c r="E61" s="9">
        <f t="shared" si="14"/>
        <v>0</v>
      </c>
      <c r="F61" s="9">
        <f t="shared" si="14"/>
        <v>0</v>
      </c>
      <c r="G61" s="9">
        <f t="shared" si="14"/>
        <v>0</v>
      </c>
      <c r="H61" s="9">
        <f t="shared" si="14"/>
        <v>0</v>
      </c>
      <c r="L61" s="419"/>
      <c r="M61" s="419"/>
      <c r="N61" s="419"/>
      <c r="O61" s="419"/>
      <c r="R61" s="418"/>
    </row>
    <row r="62" spans="1:18" x14ac:dyDescent="0.2">
      <c r="A62" s="9">
        <f>B36</f>
        <v>0</v>
      </c>
      <c r="B62" s="9">
        <f>H36*$B$40</f>
        <v>0</v>
      </c>
      <c r="C62" s="9">
        <f t="shared" ref="C62:H62" si="15">(B62/B$40)*C$40</f>
        <v>0</v>
      </c>
      <c r="D62" s="9">
        <f t="shared" si="15"/>
        <v>0</v>
      </c>
      <c r="E62" s="9">
        <f t="shared" si="15"/>
        <v>0</v>
      </c>
      <c r="F62" s="9">
        <f t="shared" si="15"/>
        <v>0</v>
      </c>
      <c r="G62" s="9">
        <f t="shared" si="15"/>
        <v>0</v>
      </c>
      <c r="H62" s="9">
        <f t="shared" si="15"/>
        <v>0</v>
      </c>
      <c r="L62" s="419"/>
      <c r="M62" s="419"/>
      <c r="N62" s="419"/>
      <c r="O62" s="419"/>
      <c r="R62" s="418"/>
    </row>
    <row r="63" spans="1:18" x14ac:dyDescent="0.2">
      <c r="L63" s="419"/>
      <c r="M63" s="419"/>
      <c r="N63" s="419"/>
      <c r="O63" s="419"/>
      <c r="R63" s="418"/>
    </row>
    <row r="64" spans="1:18" ht="18" x14ac:dyDescent="0.2">
      <c r="A64" s="512" t="s">
        <v>573</v>
      </c>
      <c r="B64" s="513"/>
      <c r="C64" s="513"/>
      <c r="D64" s="513"/>
      <c r="E64" s="513"/>
      <c r="F64" s="513"/>
      <c r="G64" s="513"/>
      <c r="H64" s="514"/>
      <c r="L64" s="419"/>
      <c r="M64" s="419"/>
      <c r="N64" s="419"/>
      <c r="O64" s="419"/>
      <c r="R64" s="418"/>
    </row>
    <row r="65" spans="1:18" x14ac:dyDescent="0.2">
      <c r="A65" s="515" t="s">
        <v>0</v>
      </c>
      <c r="B65" s="399">
        <v>0.1</v>
      </c>
      <c r="C65" s="399">
        <f>B65+0.05</f>
        <v>0.15000000000000002</v>
      </c>
      <c r="D65" s="399">
        <f t="shared" ref="D65:G65" si="16">C65+0.05</f>
        <v>0.2</v>
      </c>
      <c r="E65" s="399">
        <f t="shared" si="16"/>
        <v>0.25</v>
      </c>
      <c r="F65" s="399">
        <f t="shared" si="16"/>
        <v>0.3</v>
      </c>
      <c r="G65" s="399">
        <f t="shared" si="16"/>
        <v>0.35</v>
      </c>
      <c r="H65" s="399">
        <f>G65+0.05</f>
        <v>0.39999999999999997</v>
      </c>
      <c r="L65" s="419"/>
      <c r="M65" s="419"/>
      <c r="N65" s="419"/>
      <c r="O65" s="419"/>
      <c r="P65" s="419"/>
      <c r="R65" s="418"/>
    </row>
    <row r="66" spans="1:18" x14ac:dyDescent="0.2">
      <c r="A66" s="516"/>
      <c r="B66" s="275" t="s">
        <v>2</v>
      </c>
      <c r="C66" s="275" t="s">
        <v>3</v>
      </c>
      <c r="D66" s="275" t="s">
        <v>4</v>
      </c>
      <c r="E66" s="275" t="s">
        <v>5</v>
      </c>
      <c r="F66" s="275" t="s">
        <v>6</v>
      </c>
      <c r="G66" s="275" t="s">
        <v>170</v>
      </c>
      <c r="H66" s="275" t="s">
        <v>169</v>
      </c>
      <c r="L66" s="419"/>
      <c r="M66" s="419"/>
      <c r="N66" s="419"/>
      <c r="O66" s="419"/>
      <c r="R66" s="418"/>
    </row>
    <row r="67" spans="1:18" s="12" customFormat="1" x14ac:dyDescent="0.2">
      <c r="A67" s="9" t="str">
        <f t="shared" ref="A67:A87" si="17">A42</f>
        <v>Soybean</v>
      </c>
      <c r="B67" s="9">
        <f>H14*$B$65</f>
        <v>1127.0700000000002</v>
      </c>
      <c r="C67" s="9">
        <f>(B67/B$65)*C$65</f>
        <v>1690.6050000000005</v>
      </c>
      <c r="D67" s="9">
        <f t="shared" ref="D67:H68" si="18">(C67/C$65)*D$65</f>
        <v>2254.1400000000003</v>
      </c>
      <c r="E67" s="9">
        <f t="shared" si="18"/>
        <v>2817.6750000000002</v>
      </c>
      <c r="F67" s="9">
        <f t="shared" si="18"/>
        <v>3381.21</v>
      </c>
      <c r="G67" s="9">
        <f t="shared" si="18"/>
        <v>3944.7449999999999</v>
      </c>
      <c r="H67" s="9">
        <f t="shared" si="18"/>
        <v>4508.28</v>
      </c>
      <c r="L67" s="420"/>
      <c r="M67" s="419"/>
      <c r="N67" s="419"/>
      <c r="O67" s="419"/>
    </row>
    <row r="68" spans="1:18" x14ac:dyDescent="0.2">
      <c r="A68" s="9" t="str">
        <f t="shared" si="17"/>
        <v>Red Gram/Tur</v>
      </c>
      <c r="B68" s="9">
        <f t="shared" ref="B68:B75" si="19">H15*$B$65</f>
        <v>3823.9875000000002</v>
      </c>
      <c r="C68" s="9">
        <f>(B68/B$65)*C$65</f>
        <v>5735.9812500000007</v>
      </c>
      <c r="D68" s="9">
        <f t="shared" si="18"/>
        <v>7647.9750000000004</v>
      </c>
      <c r="E68" s="9">
        <f t="shared" si="18"/>
        <v>9559.96875</v>
      </c>
      <c r="F68" s="9">
        <f t="shared" si="18"/>
        <v>11471.9625</v>
      </c>
      <c r="G68" s="9">
        <f t="shared" si="18"/>
        <v>13383.956249999999</v>
      </c>
      <c r="H68" s="9">
        <f t="shared" si="18"/>
        <v>15295.949999999999</v>
      </c>
    </row>
    <row r="69" spans="1:18" x14ac:dyDescent="0.2">
      <c r="A69" s="9" t="str">
        <f t="shared" si="17"/>
        <v>Paddy/Rice</v>
      </c>
      <c r="B69" s="9">
        <f t="shared" si="19"/>
        <v>0</v>
      </c>
      <c r="C69" s="9">
        <f t="shared" ref="C69:H69" si="20">(B69/B$65)*C$65</f>
        <v>0</v>
      </c>
      <c r="D69" s="9">
        <f t="shared" si="20"/>
        <v>0</v>
      </c>
      <c r="E69" s="9">
        <f t="shared" si="20"/>
        <v>0</v>
      </c>
      <c r="F69" s="9">
        <f t="shared" si="20"/>
        <v>0</v>
      </c>
      <c r="G69" s="9">
        <f t="shared" si="20"/>
        <v>0</v>
      </c>
      <c r="H69" s="9">
        <f t="shared" si="20"/>
        <v>0</v>
      </c>
      <c r="K69" s="417"/>
      <c r="L69" s="417"/>
      <c r="M69" s="417"/>
      <c r="N69" s="417"/>
      <c r="O69" s="417"/>
    </row>
    <row r="70" spans="1:18" x14ac:dyDescent="0.2">
      <c r="A70" s="9" t="str">
        <f t="shared" si="17"/>
        <v>Green Gram/ Moong</v>
      </c>
      <c r="B70" s="9">
        <f t="shared" si="19"/>
        <v>1095.7625</v>
      </c>
      <c r="C70" s="9">
        <f t="shared" ref="C70:H70" si="21">(B70/B$65)*C$65</f>
        <v>1643.6437500000002</v>
      </c>
      <c r="D70" s="9">
        <f t="shared" si="21"/>
        <v>2191.5250000000001</v>
      </c>
      <c r="E70" s="9">
        <f t="shared" si="21"/>
        <v>2739.40625</v>
      </c>
      <c r="F70" s="9">
        <f t="shared" si="21"/>
        <v>3287.2874999999999</v>
      </c>
      <c r="G70" s="9">
        <f t="shared" si="21"/>
        <v>3835.1687499999998</v>
      </c>
      <c r="H70" s="9">
        <f t="shared" si="21"/>
        <v>4383.0499999999993</v>
      </c>
      <c r="K70" s="417"/>
      <c r="L70" s="417"/>
      <c r="M70" s="417"/>
      <c r="N70" s="417"/>
      <c r="O70" s="417"/>
    </row>
    <row r="71" spans="1:18" x14ac:dyDescent="0.2">
      <c r="A71" s="9" t="str">
        <f t="shared" si="17"/>
        <v>Maize</v>
      </c>
      <c r="B71" s="9">
        <f t="shared" si="19"/>
        <v>0</v>
      </c>
      <c r="C71" s="9">
        <f t="shared" ref="C71:H71" si="22">(B71/B$65)*C$65</f>
        <v>0</v>
      </c>
      <c r="D71" s="9">
        <f t="shared" si="22"/>
        <v>0</v>
      </c>
      <c r="E71" s="9">
        <f t="shared" si="22"/>
        <v>0</v>
      </c>
      <c r="F71" s="9">
        <f t="shared" si="22"/>
        <v>0</v>
      </c>
      <c r="G71" s="9">
        <f t="shared" si="22"/>
        <v>0</v>
      </c>
      <c r="H71" s="9">
        <f t="shared" si="22"/>
        <v>0</v>
      </c>
      <c r="K71" s="417"/>
      <c r="L71" s="417"/>
      <c r="M71" s="417"/>
      <c r="N71" s="417"/>
      <c r="O71" s="417"/>
    </row>
    <row r="72" spans="1:18" x14ac:dyDescent="0.2">
      <c r="A72" s="9" t="str">
        <f t="shared" si="17"/>
        <v>Black Gram/Udid</v>
      </c>
      <c r="B72" s="9">
        <f t="shared" si="19"/>
        <v>80.504999999999995</v>
      </c>
      <c r="C72" s="9">
        <f t="shared" ref="C72:H72" si="23">(B72/B$65)*C$65</f>
        <v>120.75750000000001</v>
      </c>
      <c r="D72" s="9">
        <f t="shared" si="23"/>
        <v>161.01</v>
      </c>
      <c r="E72" s="9">
        <f t="shared" si="23"/>
        <v>201.26249999999999</v>
      </c>
      <c r="F72" s="9">
        <f t="shared" si="23"/>
        <v>241.51499999999999</v>
      </c>
      <c r="G72" s="9">
        <f t="shared" si="23"/>
        <v>281.76749999999998</v>
      </c>
      <c r="H72" s="9">
        <f t="shared" si="23"/>
        <v>322.02</v>
      </c>
      <c r="K72" s="417"/>
      <c r="L72" s="417"/>
      <c r="M72" s="417"/>
      <c r="N72" s="417"/>
      <c r="O72" s="417"/>
    </row>
    <row r="73" spans="1:18" x14ac:dyDescent="0.2">
      <c r="A73" s="9" t="str">
        <f t="shared" si="17"/>
        <v>Bajra</v>
      </c>
      <c r="B73" s="9">
        <f t="shared" si="19"/>
        <v>87.661000000000001</v>
      </c>
      <c r="C73" s="9">
        <f t="shared" ref="C73:H73" si="24">(B73/B$65)*C$65</f>
        <v>131.49150000000003</v>
      </c>
      <c r="D73" s="9">
        <f t="shared" si="24"/>
        <v>175.32200000000003</v>
      </c>
      <c r="E73" s="9">
        <f t="shared" si="24"/>
        <v>219.15250000000003</v>
      </c>
      <c r="F73" s="9">
        <f t="shared" si="24"/>
        <v>262.983</v>
      </c>
      <c r="G73" s="9">
        <f t="shared" si="24"/>
        <v>306.81349999999998</v>
      </c>
      <c r="H73" s="9">
        <f t="shared" si="24"/>
        <v>350.64399999999995</v>
      </c>
      <c r="K73" s="417"/>
      <c r="L73" s="417"/>
      <c r="M73" s="417"/>
      <c r="N73" s="417"/>
      <c r="O73" s="417"/>
    </row>
    <row r="74" spans="1:18" x14ac:dyDescent="0.2">
      <c r="A74" s="9" t="str">
        <f t="shared" si="17"/>
        <v>Jawar</v>
      </c>
      <c r="B74" s="9">
        <f t="shared" si="19"/>
        <v>0</v>
      </c>
      <c r="C74" s="9">
        <f t="shared" ref="C74:H74" si="25">(B74/B$65)*C$65</f>
        <v>0</v>
      </c>
      <c r="D74" s="9">
        <f t="shared" si="25"/>
        <v>0</v>
      </c>
      <c r="E74" s="9">
        <f t="shared" si="25"/>
        <v>0</v>
      </c>
      <c r="F74" s="9">
        <f t="shared" si="25"/>
        <v>0</v>
      </c>
      <c r="G74" s="9">
        <f t="shared" si="25"/>
        <v>0</v>
      </c>
      <c r="H74" s="9">
        <f t="shared" si="25"/>
        <v>0</v>
      </c>
      <c r="K74" s="417"/>
      <c r="L74" s="417"/>
      <c r="M74" s="417"/>
      <c r="N74" s="417"/>
      <c r="O74" s="417"/>
    </row>
    <row r="75" spans="1:18" x14ac:dyDescent="0.2">
      <c r="A75" s="9" t="str">
        <f t="shared" si="17"/>
        <v>Sunflower</v>
      </c>
      <c r="B75" s="9">
        <f t="shared" si="19"/>
        <v>0</v>
      </c>
      <c r="C75" s="9">
        <f t="shared" ref="C75:H75" si="26">(B75/B$65)*C$65</f>
        <v>0</v>
      </c>
      <c r="D75" s="9">
        <f t="shared" si="26"/>
        <v>0</v>
      </c>
      <c r="E75" s="9">
        <f t="shared" si="26"/>
        <v>0</v>
      </c>
      <c r="F75" s="9">
        <f t="shared" si="26"/>
        <v>0</v>
      </c>
      <c r="G75" s="9">
        <f t="shared" si="26"/>
        <v>0</v>
      </c>
      <c r="H75" s="9">
        <f t="shared" si="26"/>
        <v>0</v>
      </c>
      <c r="K75" s="417"/>
      <c r="L75" s="417"/>
      <c r="M75" s="417"/>
      <c r="N75" s="417"/>
      <c r="O75" s="417"/>
    </row>
    <row r="76" spans="1:18" x14ac:dyDescent="0.2">
      <c r="A76" s="9" t="str">
        <f t="shared" si="17"/>
        <v>Wheat</v>
      </c>
      <c r="B76" s="9">
        <f t="shared" ref="B76:B83" si="27">H24*$B$65</f>
        <v>1932.1200000000001</v>
      </c>
      <c r="C76" s="9">
        <f t="shared" ref="C76:H76" si="28">(B76/B$65)*C$65</f>
        <v>2898.1800000000007</v>
      </c>
      <c r="D76" s="9">
        <f t="shared" si="28"/>
        <v>3864.2400000000002</v>
      </c>
      <c r="E76" s="9">
        <f t="shared" si="28"/>
        <v>4830.3</v>
      </c>
      <c r="F76" s="9">
        <f t="shared" si="28"/>
        <v>5796.36</v>
      </c>
      <c r="G76" s="9">
        <f t="shared" si="28"/>
        <v>6762.42</v>
      </c>
      <c r="H76" s="9">
        <f t="shared" si="28"/>
        <v>7728.48</v>
      </c>
      <c r="K76" s="417"/>
      <c r="L76" s="417"/>
      <c r="M76" s="417"/>
      <c r="N76" s="417"/>
      <c r="O76" s="417"/>
    </row>
    <row r="77" spans="1:18" x14ac:dyDescent="0.2">
      <c r="A77" s="9" t="str">
        <f t="shared" si="17"/>
        <v>Bengal Gram/Channa</v>
      </c>
      <c r="B77" s="9">
        <f t="shared" si="27"/>
        <v>2898.1800000000003</v>
      </c>
      <c r="C77" s="9">
        <f t="shared" ref="C77:H77" si="29">(B77/B$65)*C$65</f>
        <v>4347.2700000000013</v>
      </c>
      <c r="D77" s="9">
        <f t="shared" si="29"/>
        <v>5796.3600000000006</v>
      </c>
      <c r="E77" s="9">
        <f t="shared" si="29"/>
        <v>7245.4500000000007</v>
      </c>
      <c r="F77" s="9">
        <f t="shared" si="29"/>
        <v>8694.5400000000009</v>
      </c>
      <c r="G77" s="9">
        <f t="shared" si="29"/>
        <v>10143.630000000001</v>
      </c>
      <c r="H77" s="9">
        <f t="shared" si="29"/>
        <v>11592.720000000001</v>
      </c>
      <c r="K77" s="417"/>
      <c r="L77" s="417"/>
      <c r="M77" s="417"/>
      <c r="N77" s="417"/>
      <c r="O77" s="417"/>
    </row>
    <row r="78" spans="1:18" x14ac:dyDescent="0.2">
      <c r="A78" s="9" t="str">
        <f t="shared" si="17"/>
        <v>Jawar</v>
      </c>
      <c r="B78" s="9">
        <f t="shared" si="27"/>
        <v>2209.4150000000004</v>
      </c>
      <c r="C78" s="9">
        <f t="shared" ref="C78:H78" si="30">(B78/B$65)*C$65</f>
        <v>3314.1225000000009</v>
      </c>
      <c r="D78" s="9">
        <f t="shared" si="30"/>
        <v>4418.8300000000008</v>
      </c>
      <c r="E78" s="9">
        <f t="shared" si="30"/>
        <v>5523.5375000000004</v>
      </c>
      <c r="F78" s="9">
        <f t="shared" si="30"/>
        <v>6628.2449999999999</v>
      </c>
      <c r="G78" s="9">
        <f t="shared" si="30"/>
        <v>7732.9525000000003</v>
      </c>
      <c r="H78" s="9">
        <f t="shared" si="30"/>
        <v>8837.66</v>
      </c>
    </row>
    <row r="79" spans="1:18" x14ac:dyDescent="0.2">
      <c r="A79" s="9" t="str">
        <f t="shared" si="17"/>
        <v>Maize</v>
      </c>
      <c r="B79" s="9">
        <f t="shared" si="27"/>
        <v>357.8</v>
      </c>
      <c r="C79" s="9">
        <f t="shared" ref="C79:H79" si="31">(B79/B$65)*C$65</f>
        <v>536.70000000000005</v>
      </c>
      <c r="D79" s="9">
        <f t="shared" si="31"/>
        <v>715.6</v>
      </c>
      <c r="E79" s="9">
        <f t="shared" si="31"/>
        <v>894.5</v>
      </c>
      <c r="F79" s="9">
        <f t="shared" si="31"/>
        <v>1073.3999999999999</v>
      </c>
      <c r="G79" s="9">
        <f t="shared" si="31"/>
        <v>1252.2999999999997</v>
      </c>
      <c r="H79" s="9">
        <f t="shared" si="31"/>
        <v>1431.1999999999996</v>
      </c>
    </row>
    <row r="80" spans="1:18" x14ac:dyDescent="0.2">
      <c r="A80" s="9" t="str">
        <f t="shared" si="17"/>
        <v>Safflower</v>
      </c>
      <c r="B80" s="9">
        <f t="shared" si="27"/>
        <v>0</v>
      </c>
      <c r="C80" s="9">
        <f t="shared" ref="C80:H80" si="32">(B80/B$65)*C$65</f>
        <v>0</v>
      </c>
      <c r="D80" s="9">
        <f t="shared" si="32"/>
        <v>0</v>
      </c>
      <c r="E80" s="9">
        <f t="shared" si="32"/>
        <v>0</v>
      </c>
      <c r="F80" s="9">
        <f t="shared" si="32"/>
        <v>0</v>
      </c>
      <c r="G80" s="9">
        <f t="shared" si="32"/>
        <v>0</v>
      </c>
      <c r="H80" s="9">
        <f t="shared" si="32"/>
        <v>0</v>
      </c>
    </row>
    <row r="81" spans="1:9" x14ac:dyDescent="0.2">
      <c r="A81" s="9">
        <f t="shared" si="17"/>
        <v>0</v>
      </c>
      <c r="B81" s="9">
        <f t="shared" si="27"/>
        <v>0</v>
      </c>
      <c r="C81" s="9">
        <f t="shared" ref="C81:H81" si="33">(B81/B$65)*C$65</f>
        <v>0</v>
      </c>
      <c r="D81" s="9">
        <f t="shared" si="33"/>
        <v>0</v>
      </c>
      <c r="E81" s="9">
        <f t="shared" si="33"/>
        <v>0</v>
      </c>
      <c r="F81" s="9">
        <f t="shared" si="33"/>
        <v>0</v>
      </c>
      <c r="G81" s="9">
        <f t="shared" si="33"/>
        <v>0</v>
      </c>
      <c r="H81" s="9">
        <f t="shared" si="33"/>
        <v>0</v>
      </c>
    </row>
    <row r="82" spans="1:9" x14ac:dyDescent="0.2">
      <c r="A82" s="9">
        <f t="shared" si="17"/>
        <v>0</v>
      </c>
      <c r="B82" s="9">
        <f t="shared" si="27"/>
        <v>0</v>
      </c>
      <c r="C82" s="9">
        <f t="shared" ref="C82:H82" si="34">(B82/B$65)*C$65</f>
        <v>0</v>
      </c>
      <c r="D82" s="9">
        <f t="shared" si="34"/>
        <v>0</v>
      </c>
      <c r="E82" s="9">
        <f t="shared" si="34"/>
        <v>0</v>
      </c>
      <c r="F82" s="9">
        <f t="shared" si="34"/>
        <v>0</v>
      </c>
      <c r="G82" s="9">
        <f t="shared" si="34"/>
        <v>0</v>
      </c>
      <c r="H82" s="9">
        <f t="shared" si="34"/>
        <v>0</v>
      </c>
    </row>
    <row r="83" spans="1:9" x14ac:dyDescent="0.2">
      <c r="A83" s="9">
        <f t="shared" si="17"/>
        <v>0</v>
      </c>
      <c r="B83" s="9">
        <f t="shared" si="27"/>
        <v>0</v>
      </c>
      <c r="C83" s="9">
        <f t="shared" ref="C83:H83" si="35">(B83/B$65)*C$65</f>
        <v>0</v>
      </c>
      <c r="D83" s="9">
        <f t="shared" si="35"/>
        <v>0</v>
      </c>
      <c r="E83" s="9">
        <f t="shared" si="35"/>
        <v>0</v>
      </c>
      <c r="F83" s="9">
        <f t="shared" si="35"/>
        <v>0</v>
      </c>
      <c r="G83" s="9">
        <f t="shared" si="35"/>
        <v>0</v>
      </c>
      <c r="H83" s="9">
        <f t="shared" si="35"/>
        <v>0</v>
      </c>
    </row>
    <row r="84" spans="1:9" x14ac:dyDescent="0.2">
      <c r="A84" s="9" t="str">
        <f t="shared" si="17"/>
        <v>Groundnut</v>
      </c>
      <c r="B84" s="9">
        <f>H33*$B$65</f>
        <v>0</v>
      </c>
      <c r="C84" s="9">
        <f t="shared" ref="C84:H84" si="36">(B84/B$65)*C$65</f>
        <v>0</v>
      </c>
      <c r="D84" s="9">
        <f t="shared" si="36"/>
        <v>0</v>
      </c>
      <c r="E84" s="9">
        <f t="shared" si="36"/>
        <v>0</v>
      </c>
      <c r="F84" s="9">
        <f t="shared" si="36"/>
        <v>0</v>
      </c>
      <c r="G84" s="9">
        <f t="shared" si="36"/>
        <v>0</v>
      </c>
      <c r="H84" s="9">
        <f t="shared" si="36"/>
        <v>0</v>
      </c>
    </row>
    <row r="85" spans="1:9" x14ac:dyDescent="0.2">
      <c r="A85" s="9">
        <f t="shared" si="17"/>
        <v>0</v>
      </c>
      <c r="B85" s="9">
        <f>H34*$B$65</f>
        <v>0</v>
      </c>
      <c r="C85" s="9">
        <f t="shared" ref="C85:H85" si="37">(B85/B$65)*C$65</f>
        <v>0</v>
      </c>
      <c r="D85" s="9">
        <f t="shared" si="37"/>
        <v>0</v>
      </c>
      <c r="E85" s="9">
        <f t="shared" si="37"/>
        <v>0</v>
      </c>
      <c r="F85" s="9">
        <f t="shared" si="37"/>
        <v>0</v>
      </c>
      <c r="G85" s="9">
        <f t="shared" si="37"/>
        <v>0</v>
      </c>
      <c r="H85" s="9">
        <f t="shared" si="37"/>
        <v>0</v>
      </c>
    </row>
    <row r="86" spans="1:9" x14ac:dyDescent="0.2">
      <c r="A86" s="9">
        <f t="shared" si="17"/>
        <v>0</v>
      </c>
      <c r="B86" s="9">
        <f>H35*$B$65</f>
        <v>0</v>
      </c>
      <c r="C86" s="9">
        <f t="shared" ref="C86:H86" si="38">(B86/B$65)*C$65</f>
        <v>0</v>
      </c>
      <c r="D86" s="9">
        <f t="shared" si="38"/>
        <v>0</v>
      </c>
      <c r="E86" s="9">
        <f t="shared" si="38"/>
        <v>0</v>
      </c>
      <c r="F86" s="9">
        <f t="shared" si="38"/>
        <v>0</v>
      </c>
      <c r="G86" s="9">
        <f t="shared" si="38"/>
        <v>0</v>
      </c>
      <c r="H86" s="9">
        <f t="shared" si="38"/>
        <v>0</v>
      </c>
    </row>
    <row r="87" spans="1:9" x14ac:dyDescent="0.2">
      <c r="A87" s="9">
        <f t="shared" si="17"/>
        <v>0</v>
      </c>
      <c r="B87" s="9">
        <f>H36*$B$65</f>
        <v>0</v>
      </c>
      <c r="C87" s="9">
        <f t="shared" ref="C87:H87" si="39">(B87/B$65)*C$65</f>
        <v>0</v>
      </c>
      <c r="D87" s="9">
        <f t="shared" si="39"/>
        <v>0</v>
      </c>
      <c r="E87" s="9">
        <f t="shared" si="39"/>
        <v>0</v>
      </c>
      <c r="F87" s="9">
        <f t="shared" si="39"/>
        <v>0</v>
      </c>
      <c r="G87" s="9">
        <f t="shared" si="39"/>
        <v>0</v>
      </c>
      <c r="H87" s="9">
        <f t="shared" si="39"/>
        <v>0</v>
      </c>
    </row>
    <row r="88" spans="1:9" x14ac:dyDescent="0.2">
      <c r="B88" s="264"/>
      <c r="C88" s="264"/>
      <c r="D88" s="264"/>
      <c r="E88" s="264"/>
      <c r="F88" s="264"/>
      <c r="G88" s="264"/>
      <c r="H88" s="264"/>
      <c r="I88" s="264"/>
    </row>
    <row r="89" spans="1:9" x14ac:dyDescent="0.2">
      <c r="A89" s="517" t="s">
        <v>574</v>
      </c>
      <c r="B89" s="518"/>
      <c r="C89" s="518"/>
      <c r="D89" s="518"/>
      <c r="E89" s="518"/>
      <c r="F89" s="518"/>
      <c r="G89" s="518"/>
      <c r="H89" s="519"/>
    </row>
    <row r="90" spans="1:9" x14ac:dyDescent="0.2">
      <c r="A90" s="501" t="s">
        <v>0</v>
      </c>
      <c r="B90" s="400">
        <v>0.2</v>
      </c>
      <c r="C90" s="401">
        <f t="shared" ref="C90:H90" si="40">B90+0.025</f>
        <v>0.22500000000000001</v>
      </c>
      <c r="D90" s="401">
        <f t="shared" si="40"/>
        <v>0.25</v>
      </c>
      <c r="E90" s="401">
        <f t="shared" si="40"/>
        <v>0.27500000000000002</v>
      </c>
      <c r="F90" s="401">
        <f t="shared" si="40"/>
        <v>0.30000000000000004</v>
      </c>
      <c r="G90" s="401">
        <f t="shared" si="40"/>
        <v>0.32500000000000007</v>
      </c>
      <c r="H90" s="401">
        <f t="shared" si="40"/>
        <v>0.35000000000000009</v>
      </c>
    </row>
    <row r="91" spans="1:9" x14ac:dyDescent="0.2">
      <c r="A91" s="502"/>
      <c r="B91" s="275" t="s">
        <v>2</v>
      </c>
      <c r="C91" s="275" t="s">
        <v>3</v>
      </c>
      <c r="D91" s="275" t="s">
        <v>4</v>
      </c>
      <c r="E91" s="275" t="s">
        <v>5</v>
      </c>
      <c r="F91" s="275" t="s">
        <v>6</v>
      </c>
      <c r="G91" s="275" t="s">
        <v>170</v>
      </c>
      <c r="H91" s="275" t="s">
        <v>169</v>
      </c>
    </row>
    <row r="92" spans="1:9" s="12" customFormat="1" x14ac:dyDescent="0.2">
      <c r="A92" s="9" t="str">
        <f t="shared" ref="A92:A112" si="41">A67</f>
        <v>Soybean</v>
      </c>
      <c r="B92" s="9">
        <f t="shared" ref="B92:B100" si="42">D14*$B$90</f>
        <v>357.8</v>
      </c>
      <c r="C92" s="272">
        <f t="shared" ref="C92:H92" si="43">(B92/B$90)*C$90</f>
        <v>402.52500000000003</v>
      </c>
      <c r="D92" s="272">
        <f t="shared" si="43"/>
        <v>447.25</v>
      </c>
      <c r="E92" s="272">
        <f t="shared" si="43"/>
        <v>491.97500000000002</v>
      </c>
      <c r="F92" s="272">
        <f t="shared" si="43"/>
        <v>536.70000000000005</v>
      </c>
      <c r="G92" s="272">
        <f t="shared" si="43"/>
        <v>581.42500000000007</v>
      </c>
      <c r="H92" s="272">
        <f t="shared" si="43"/>
        <v>626.15000000000009</v>
      </c>
    </row>
    <row r="93" spans="1:9" x14ac:dyDescent="0.2">
      <c r="A93" s="9" t="str">
        <f t="shared" si="41"/>
        <v>Red Gram/Tur</v>
      </c>
      <c r="B93" s="9">
        <f t="shared" si="42"/>
        <v>894.5</v>
      </c>
      <c r="C93" s="272">
        <f t="shared" ref="C93:C113" si="44">(B93/B$90)*C$90</f>
        <v>1006.3125</v>
      </c>
      <c r="D93" s="272">
        <f>(C93/C90)*D90</f>
        <v>1118.125</v>
      </c>
      <c r="E93" s="272">
        <f t="shared" ref="E93:G93" si="45">(D93/D90)*E90</f>
        <v>1229.9375</v>
      </c>
      <c r="F93" s="272">
        <f t="shared" si="45"/>
        <v>1341.7500000000002</v>
      </c>
      <c r="G93" s="272">
        <f t="shared" si="45"/>
        <v>1453.5625000000002</v>
      </c>
      <c r="H93" s="272">
        <f>(G93/G90)*H90</f>
        <v>1565.3750000000005</v>
      </c>
    </row>
    <row r="94" spans="1:9" x14ac:dyDescent="0.2">
      <c r="A94" s="9" t="str">
        <f t="shared" si="41"/>
        <v>Paddy/Rice</v>
      </c>
      <c r="B94" s="9">
        <f t="shared" si="42"/>
        <v>0</v>
      </c>
      <c r="C94" s="272">
        <f t="shared" si="44"/>
        <v>0</v>
      </c>
      <c r="D94" s="272">
        <f t="shared" ref="D94:H103" si="46">(C94/C$90)*D$90</f>
        <v>0</v>
      </c>
      <c r="E94" s="272">
        <f t="shared" si="46"/>
        <v>0</v>
      </c>
      <c r="F94" s="272">
        <f t="shared" si="46"/>
        <v>0</v>
      </c>
      <c r="G94" s="272">
        <f t="shared" si="46"/>
        <v>0</v>
      </c>
      <c r="H94" s="272">
        <f t="shared" si="46"/>
        <v>0</v>
      </c>
    </row>
    <row r="95" spans="1:9" x14ac:dyDescent="0.2">
      <c r="A95" s="9" t="str">
        <f t="shared" si="41"/>
        <v>Green Gram/ Moong</v>
      </c>
      <c r="B95" s="9">
        <f t="shared" si="42"/>
        <v>447.25</v>
      </c>
      <c r="C95" s="272">
        <f t="shared" si="44"/>
        <v>503.15625</v>
      </c>
      <c r="D95" s="272">
        <f t="shared" si="46"/>
        <v>559.0625</v>
      </c>
      <c r="E95" s="272">
        <f t="shared" si="46"/>
        <v>614.96875</v>
      </c>
      <c r="F95" s="272">
        <f t="shared" si="46"/>
        <v>670.87500000000011</v>
      </c>
      <c r="G95" s="272">
        <f t="shared" si="46"/>
        <v>726.78125000000011</v>
      </c>
      <c r="H95" s="272">
        <f t="shared" si="46"/>
        <v>782.68750000000023</v>
      </c>
    </row>
    <row r="96" spans="1:9" x14ac:dyDescent="0.2">
      <c r="A96" s="9" t="str">
        <f t="shared" si="41"/>
        <v>Maize</v>
      </c>
      <c r="B96" s="272">
        <f t="shared" si="42"/>
        <v>0</v>
      </c>
      <c r="C96" s="272">
        <f t="shared" si="44"/>
        <v>0</v>
      </c>
      <c r="D96" s="272">
        <f t="shared" si="46"/>
        <v>0</v>
      </c>
      <c r="E96" s="272">
        <f t="shared" si="46"/>
        <v>0</v>
      </c>
      <c r="F96" s="272">
        <f t="shared" si="46"/>
        <v>0</v>
      </c>
      <c r="G96" s="272">
        <f t="shared" si="46"/>
        <v>0</v>
      </c>
      <c r="H96" s="272">
        <f t="shared" si="46"/>
        <v>0</v>
      </c>
    </row>
    <row r="97" spans="1:8" x14ac:dyDescent="0.2">
      <c r="A97" s="9" t="str">
        <f t="shared" si="41"/>
        <v>Black Gram/Udid</v>
      </c>
      <c r="B97" s="9">
        <f t="shared" si="42"/>
        <v>35.78</v>
      </c>
      <c r="C97" s="272">
        <f t="shared" si="44"/>
        <v>40.252500000000005</v>
      </c>
      <c r="D97" s="272">
        <f t="shared" si="46"/>
        <v>44.725000000000001</v>
      </c>
      <c r="E97" s="272">
        <f t="shared" si="46"/>
        <v>49.197500000000005</v>
      </c>
      <c r="F97" s="272">
        <f t="shared" si="46"/>
        <v>53.670000000000009</v>
      </c>
      <c r="G97" s="272">
        <f t="shared" si="46"/>
        <v>58.142500000000013</v>
      </c>
      <c r="H97" s="272">
        <f t="shared" si="46"/>
        <v>62.615000000000016</v>
      </c>
    </row>
    <row r="98" spans="1:8" x14ac:dyDescent="0.2">
      <c r="A98" s="9" t="str">
        <f t="shared" si="41"/>
        <v>Bajra</v>
      </c>
      <c r="B98" s="9">
        <f t="shared" si="42"/>
        <v>35.78</v>
      </c>
      <c r="C98" s="272">
        <f t="shared" si="44"/>
        <v>40.252500000000005</v>
      </c>
      <c r="D98" s="272">
        <f t="shared" si="46"/>
        <v>44.725000000000001</v>
      </c>
      <c r="E98" s="272">
        <f t="shared" si="46"/>
        <v>49.197500000000005</v>
      </c>
      <c r="F98" s="272">
        <f t="shared" si="46"/>
        <v>53.670000000000009</v>
      </c>
      <c r="G98" s="272">
        <f t="shared" si="46"/>
        <v>58.142500000000013</v>
      </c>
      <c r="H98" s="272">
        <f t="shared" si="46"/>
        <v>62.615000000000016</v>
      </c>
    </row>
    <row r="99" spans="1:8" x14ac:dyDescent="0.2">
      <c r="A99" s="9" t="str">
        <f t="shared" si="41"/>
        <v>Jawar</v>
      </c>
      <c r="B99" s="9">
        <f t="shared" si="42"/>
        <v>0</v>
      </c>
      <c r="C99" s="272">
        <f t="shared" si="44"/>
        <v>0</v>
      </c>
      <c r="D99" s="272">
        <f t="shared" si="46"/>
        <v>0</v>
      </c>
      <c r="E99" s="272">
        <f t="shared" si="46"/>
        <v>0</v>
      </c>
      <c r="F99" s="272">
        <f t="shared" si="46"/>
        <v>0</v>
      </c>
      <c r="G99" s="272">
        <f t="shared" si="46"/>
        <v>0</v>
      </c>
      <c r="H99" s="272">
        <f t="shared" si="46"/>
        <v>0</v>
      </c>
    </row>
    <row r="100" spans="1:8" x14ac:dyDescent="0.2">
      <c r="A100" s="9" t="str">
        <f t="shared" si="41"/>
        <v>Sunflower</v>
      </c>
      <c r="B100" s="9">
        <f t="shared" si="42"/>
        <v>17.89</v>
      </c>
      <c r="C100" s="272">
        <f t="shared" si="44"/>
        <v>20.126250000000002</v>
      </c>
      <c r="D100" s="272">
        <f t="shared" si="46"/>
        <v>22.362500000000001</v>
      </c>
      <c r="E100" s="272">
        <f t="shared" si="46"/>
        <v>24.598750000000003</v>
      </c>
      <c r="F100" s="272">
        <f t="shared" si="46"/>
        <v>26.835000000000004</v>
      </c>
      <c r="G100" s="272">
        <f t="shared" si="46"/>
        <v>29.071250000000006</v>
      </c>
      <c r="H100" s="272">
        <f t="shared" si="46"/>
        <v>31.307500000000008</v>
      </c>
    </row>
    <row r="101" spans="1:8" x14ac:dyDescent="0.2">
      <c r="A101" s="9" t="str">
        <f t="shared" si="41"/>
        <v>Wheat</v>
      </c>
      <c r="B101" s="9">
        <f t="shared" ref="B101:B108" si="47">D24*$B$90</f>
        <v>357.8</v>
      </c>
      <c r="C101" s="272">
        <f t="shared" si="44"/>
        <v>402.52500000000003</v>
      </c>
      <c r="D101" s="272">
        <f t="shared" si="46"/>
        <v>447.25</v>
      </c>
      <c r="E101" s="272">
        <f t="shared" si="46"/>
        <v>491.97500000000002</v>
      </c>
      <c r="F101" s="272">
        <f t="shared" si="46"/>
        <v>536.70000000000005</v>
      </c>
      <c r="G101" s="272">
        <f t="shared" si="46"/>
        <v>581.42500000000007</v>
      </c>
      <c r="H101" s="272">
        <f t="shared" si="46"/>
        <v>626.15000000000009</v>
      </c>
    </row>
    <row r="102" spans="1:8" x14ac:dyDescent="0.2">
      <c r="A102" s="9" t="str">
        <f t="shared" si="41"/>
        <v>Bengal Gram/Channa</v>
      </c>
      <c r="B102" s="9">
        <f t="shared" si="47"/>
        <v>715.6</v>
      </c>
      <c r="C102" s="272">
        <f t="shared" si="44"/>
        <v>805.05000000000007</v>
      </c>
      <c r="D102" s="272">
        <f t="shared" si="46"/>
        <v>894.5</v>
      </c>
      <c r="E102" s="272">
        <f t="shared" si="46"/>
        <v>983.95</v>
      </c>
      <c r="F102" s="272">
        <f t="shared" si="46"/>
        <v>1073.4000000000001</v>
      </c>
      <c r="G102" s="272">
        <f t="shared" si="46"/>
        <v>1162.8500000000001</v>
      </c>
      <c r="H102" s="272">
        <f t="shared" si="46"/>
        <v>1252.3000000000002</v>
      </c>
    </row>
    <row r="103" spans="1:8" x14ac:dyDescent="0.2">
      <c r="A103" s="9" t="str">
        <f t="shared" si="41"/>
        <v>Jawar</v>
      </c>
      <c r="B103" s="9">
        <f t="shared" si="47"/>
        <v>357.8</v>
      </c>
      <c r="C103" s="272">
        <f t="shared" si="44"/>
        <v>402.52500000000003</v>
      </c>
      <c r="D103" s="272">
        <f t="shared" si="46"/>
        <v>447.25</v>
      </c>
      <c r="E103" s="272">
        <f t="shared" si="46"/>
        <v>491.97500000000002</v>
      </c>
      <c r="F103" s="272">
        <f t="shared" si="46"/>
        <v>536.70000000000005</v>
      </c>
      <c r="G103" s="272">
        <f t="shared" si="46"/>
        <v>581.42500000000007</v>
      </c>
      <c r="H103" s="272">
        <f t="shared" si="46"/>
        <v>626.15000000000009</v>
      </c>
    </row>
    <row r="104" spans="1:8" x14ac:dyDescent="0.2">
      <c r="A104" s="9" t="str">
        <f t="shared" si="41"/>
        <v>Maize</v>
      </c>
      <c r="B104" s="9">
        <f t="shared" si="47"/>
        <v>35.78</v>
      </c>
      <c r="C104" s="272">
        <f t="shared" si="44"/>
        <v>40.252500000000005</v>
      </c>
      <c r="D104" s="272">
        <f t="shared" ref="D104:H113" si="48">(C104/C$90)*D$90</f>
        <v>44.725000000000001</v>
      </c>
      <c r="E104" s="272">
        <f t="shared" si="48"/>
        <v>49.197500000000005</v>
      </c>
      <c r="F104" s="272">
        <f t="shared" si="48"/>
        <v>53.670000000000009</v>
      </c>
      <c r="G104" s="272">
        <f t="shared" si="48"/>
        <v>58.142500000000013</v>
      </c>
      <c r="H104" s="272">
        <f t="shared" si="48"/>
        <v>62.615000000000016</v>
      </c>
    </row>
    <row r="105" spans="1:8" x14ac:dyDescent="0.2">
      <c r="A105" s="9" t="str">
        <f t="shared" si="41"/>
        <v>Safflower</v>
      </c>
      <c r="B105" s="9">
        <f t="shared" si="47"/>
        <v>0</v>
      </c>
      <c r="C105" s="272">
        <f t="shared" si="44"/>
        <v>0</v>
      </c>
      <c r="D105" s="272">
        <f t="shared" si="48"/>
        <v>0</v>
      </c>
      <c r="E105" s="272">
        <f t="shared" si="48"/>
        <v>0</v>
      </c>
      <c r="F105" s="272">
        <f t="shared" si="48"/>
        <v>0</v>
      </c>
      <c r="G105" s="272">
        <f t="shared" si="48"/>
        <v>0</v>
      </c>
      <c r="H105" s="272">
        <f t="shared" si="48"/>
        <v>0</v>
      </c>
    </row>
    <row r="106" spans="1:8" x14ac:dyDescent="0.2">
      <c r="A106" s="9">
        <f t="shared" si="41"/>
        <v>0</v>
      </c>
      <c r="B106" s="9">
        <f t="shared" si="47"/>
        <v>0</v>
      </c>
      <c r="C106" s="272">
        <f t="shared" si="44"/>
        <v>0</v>
      </c>
      <c r="D106" s="272">
        <f t="shared" si="48"/>
        <v>0</v>
      </c>
      <c r="E106" s="272">
        <f t="shared" si="48"/>
        <v>0</v>
      </c>
      <c r="F106" s="272">
        <f t="shared" si="48"/>
        <v>0</v>
      </c>
      <c r="G106" s="272">
        <f t="shared" si="48"/>
        <v>0</v>
      </c>
      <c r="H106" s="272">
        <f t="shared" si="48"/>
        <v>0</v>
      </c>
    </row>
    <row r="107" spans="1:8" x14ac:dyDescent="0.2">
      <c r="A107" s="9">
        <f t="shared" si="41"/>
        <v>0</v>
      </c>
      <c r="B107" s="9">
        <f t="shared" si="47"/>
        <v>0</v>
      </c>
      <c r="C107" s="272">
        <f t="shared" si="44"/>
        <v>0</v>
      </c>
      <c r="D107" s="272">
        <f t="shared" si="48"/>
        <v>0</v>
      </c>
      <c r="E107" s="272">
        <f t="shared" si="48"/>
        <v>0</v>
      </c>
      <c r="F107" s="272">
        <f t="shared" si="48"/>
        <v>0</v>
      </c>
      <c r="G107" s="272">
        <f t="shared" si="48"/>
        <v>0</v>
      </c>
      <c r="H107" s="272">
        <f t="shared" si="48"/>
        <v>0</v>
      </c>
    </row>
    <row r="108" spans="1:8" x14ac:dyDescent="0.2">
      <c r="A108" s="9">
        <f t="shared" si="41"/>
        <v>0</v>
      </c>
      <c r="B108" s="9">
        <f t="shared" si="47"/>
        <v>0</v>
      </c>
      <c r="C108" s="272">
        <f t="shared" si="44"/>
        <v>0</v>
      </c>
      <c r="D108" s="272">
        <f t="shared" si="48"/>
        <v>0</v>
      </c>
      <c r="E108" s="272">
        <f t="shared" si="48"/>
        <v>0</v>
      </c>
      <c r="F108" s="272">
        <f t="shared" si="48"/>
        <v>0</v>
      </c>
      <c r="G108" s="272">
        <f t="shared" si="48"/>
        <v>0</v>
      </c>
      <c r="H108" s="272">
        <f t="shared" si="48"/>
        <v>0</v>
      </c>
    </row>
    <row r="109" spans="1:8" x14ac:dyDescent="0.2">
      <c r="A109" s="9" t="str">
        <f t="shared" si="41"/>
        <v>Groundnut</v>
      </c>
      <c r="B109" s="9">
        <f>D33*$B$90</f>
        <v>0</v>
      </c>
      <c r="C109" s="272">
        <f t="shared" si="44"/>
        <v>0</v>
      </c>
      <c r="D109" s="272">
        <f t="shared" si="48"/>
        <v>0</v>
      </c>
      <c r="E109" s="272">
        <f t="shared" si="48"/>
        <v>0</v>
      </c>
      <c r="F109" s="272">
        <f t="shared" si="48"/>
        <v>0</v>
      </c>
      <c r="G109" s="272">
        <f t="shared" si="48"/>
        <v>0</v>
      </c>
      <c r="H109" s="272">
        <f t="shared" si="48"/>
        <v>0</v>
      </c>
    </row>
    <row r="110" spans="1:8" x14ac:dyDescent="0.2">
      <c r="A110" s="9">
        <f t="shared" si="41"/>
        <v>0</v>
      </c>
      <c r="B110" s="9">
        <f>D34*$B$90</f>
        <v>0</v>
      </c>
      <c r="C110" s="272">
        <f t="shared" si="44"/>
        <v>0</v>
      </c>
      <c r="D110" s="272">
        <f t="shared" si="48"/>
        <v>0</v>
      </c>
      <c r="E110" s="272">
        <f t="shared" si="48"/>
        <v>0</v>
      </c>
      <c r="F110" s="272">
        <f t="shared" si="48"/>
        <v>0</v>
      </c>
      <c r="G110" s="272">
        <f t="shared" si="48"/>
        <v>0</v>
      </c>
      <c r="H110" s="272">
        <f t="shared" si="48"/>
        <v>0</v>
      </c>
    </row>
    <row r="111" spans="1:8" x14ac:dyDescent="0.2">
      <c r="A111" s="9">
        <f t="shared" si="41"/>
        <v>0</v>
      </c>
      <c r="B111" s="9">
        <f>D34*$B$90</f>
        <v>0</v>
      </c>
      <c r="C111" s="272">
        <f t="shared" si="44"/>
        <v>0</v>
      </c>
      <c r="D111" s="272">
        <f t="shared" si="48"/>
        <v>0</v>
      </c>
      <c r="E111" s="272">
        <f t="shared" si="48"/>
        <v>0</v>
      </c>
      <c r="F111" s="272">
        <f t="shared" si="48"/>
        <v>0</v>
      </c>
      <c r="G111" s="272">
        <f t="shared" si="48"/>
        <v>0</v>
      </c>
      <c r="H111" s="272">
        <f t="shared" si="48"/>
        <v>0</v>
      </c>
    </row>
    <row r="112" spans="1:8" x14ac:dyDescent="0.2">
      <c r="A112" s="9">
        <f t="shared" si="41"/>
        <v>0</v>
      </c>
      <c r="B112" s="9">
        <f>D36*$B$90</f>
        <v>0</v>
      </c>
      <c r="C112" s="272">
        <f t="shared" si="44"/>
        <v>0</v>
      </c>
      <c r="D112" s="272">
        <f t="shared" si="48"/>
        <v>0</v>
      </c>
      <c r="E112" s="272">
        <f t="shared" si="48"/>
        <v>0</v>
      </c>
      <c r="F112" s="272">
        <f t="shared" si="48"/>
        <v>0</v>
      </c>
      <c r="G112" s="272">
        <f t="shared" si="48"/>
        <v>0</v>
      </c>
      <c r="H112" s="272">
        <f t="shared" si="48"/>
        <v>0</v>
      </c>
    </row>
    <row r="113" spans="1:9" x14ac:dyDescent="0.2">
      <c r="A113" s="9"/>
      <c r="B113" s="9">
        <f>D37*$B$90</f>
        <v>0</v>
      </c>
      <c r="C113" s="272">
        <f t="shared" si="44"/>
        <v>0</v>
      </c>
      <c r="D113" s="272">
        <f t="shared" si="48"/>
        <v>0</v>
      </c>
      <c r="E113" s="272">
        <f t="shared" si="48"/>
        <v>0</v>
      </c>
      <c r="F113" s="272">
        <f t="shared" si="48"/>
        <v>0</v>
      </c>
      <c r="G113" s="272">
        <f t="shared" si="48"/>
        <v>0</v>
      </c>
      <c r="H113" s="272">
        <f t="shared" si="48"/>
        <v>0</v>
      </c>
    </row>
    <row r="115" spans="1:9" x14ac:dyDescent="0.2">
      <c r="C115" s="3"/>
      <c r="D115" s="5"/>
      <c r="E115" s="5"/>
      <c r="F115" s="5"/>
      <c r="G115" s="5"/>
      <c r="H115" s="5"/>
      <c r="I115" s="5"/>
    </row>
    <row r="116" spans="1:9" x14ac:dyDescent="0.2">
      <c r="A116" t="s">
        <v>543</v>
      </c>
      <c r="C116" s="273"/>
      <c r="D116" s="273"/>
      <c r="E116" s="273"/>
      <c r="F116" s="273"/>
      <c r="G116" s="273"/>
      <c r="H116" s="273"/>
      <c r="I116" s="273"/>
    </row>
    <row r="117" spans="1:9" x14ac:dyDescent="0.2">
      <c r="A117">
        <v>1</v>
      </c>
      <c r="B117" t="s">
        <v>597</v>
      </c>
    </row>
    <row r="118" spans="1:9" x14ac:dyDescent="0.2">
      <c r="A118">
        <v>2</v>
      </c>
      <c r="B118" t="s">
        <v>598</v>
      </c>
    </row>
    <row r="119" spans="1:9" x14ac:dyDescent="0.2">
      <c r="A119">
        <v>3</v>
      </c>
      <c r="B119" t="s">
        <v>546</v>
      </c>
    </row>
  </sheetData>
  <mergeCells count="12">
    <mergeCell ref="A1:H1"/>
    <mergeCell ref="A3:B3"/>
    <mergeCell ref="A90:A91"/>
    <mergeCell ref="A11:H11"/>
    <mergeCell ref="A37:H37"/>
    <mergeCell ref="A14:A22"/>
    <mergeCell ref="A39:H39"/>
    <mergeCell ref="A40:A41"/>
    <mergeCell ref="A64:H64"/>
    <mergeCell ref="A65:A66"/>
    <mergeCell ref="A89:H89"/>
    <mergeCell ref="A24:A31"/>
  </mergeCells>
  <pageMargins left="0.7" right="0.7" top="0.75" bottom="0.75" header="0.3" footer="0.3"/>
  <pageSetup scale="50" orientation="portrait" r:id="rId1"/>
  <rowBreaks count="1" manualBreakCount="1">
    <brk id="63" max="7" man="1"/>
  </rowBreaks>
  <colBreaks count="1" manualBreakCount="1">
    <brk id="8" max="113"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Z132"/>
  <sheetViews>
    <sheetView view="pageBreakPreview" topLeftCell="A112" zoomScale="80" zoomScaleSheetLayoutView="80" workbookViewId="0">
      <selection activeCell="J1" sqref="J1"/>
    </sheetView>
  </sheetViews>
  <sheetFormatPr defaultRowHeight="15" x14ac:dyDescent="0.2"/>
  <cols>
    <col min="1" max="1" width="44.2578125" bestFit="1" customWidth="1"/>
    <col min="2" max="2" width="23.26953125" bestFit="1" customWidth="1"/>
    <col min="3" max="3" width="11.56640625" customWidth="1"/>
    <col min="4" max="4" width="18.83203125" customWidth="1"/>
    <col min="5" max="5" width="15.19921875" customWidth="1"/>
    <col min="6" max="7" width="15.87109375" customWidth="1"/>
    <col min="8" max="8" width="21.25390625" customWidth="1"/>
    <col min="9" max="9" width="11.43359375" bestFit="1" customWidth="1"/>
    <col min="10" max="10" width="9.14453125" bestFit="1" customWidth="1"/>
  </cols>
  <sheetData>
    <row r="1" spans="1:26" ht="18" x14ac:dyDescent="0.2">
      <c r="A1" s="451" t="s">
        <v>503</v>
      </c>
      <c r="B1" s="451"/>
      <c r="C1" s="451"/>
      <c r="D1" s="451"/>
      <c r="E1" s="451"/>
      <c r="F1" s="451"/>
      <c r="G1" s="451"/>
      <c r="H1" s="451"/>
    </row>
    <row r="2" spans="1:26" x14ac:dyDescent="0.2">
      <c r="B2" s="3"/>
    </row>
    <row r="3" spans="1:26" ht="18" x14ac:dyDescent="0.2">
      <c r="A3" s="500" t="s">
        <v>575</v>
      </c>
      <c r="B3" s="500"/>
    </row>
    <row r="4" spans="1:26" x14ac:dyDescent="0.2">
      <c r="A4" s="258" t="s">
        <v>0</v>
      </c>
      <c r="B4" s="275" t="s">
        <v>392</v>
      </c>
      <c r="C4" s="276"/>
      <c r="D4" s="276"/>
      <c r="E4" s="276"/>
      <c r="F4" s="276"/>
      <c r="G4" s="276"/>
      <c r="H4" s="276"/>
    </row>
    <row r="5" spans="1:26" x14ac:dyDescent="0.2">
      <c r="A5" s="9" t="s">
        <v>496</v>
      </c>
      <c r="B5" s="254"/>
      <c r="C5" s="277"/>
      <c r="D5" s="278"/>
      <c r="E5" s="278"/>
      <c r="F5" s="278"/>
      <c r="G5" s="278"/>
      <c r="H5" s="278"/>
    </row>
    <row r="6" spans="1:26" x14ac:dyDescent="0.2">
      <c r="A6" s="9" t="s">
        <v>497</v>
      </c>
      <c r="B6" s="254"/>
      <c r="C6" s="277"/>
      <c r="D6" s="278"/>
      <c r="E6" s="278"/>
      <c r="F6" s="278"/>
      <c r="G6" s="278"/>
      <c r="H6" s="278"/>
    </row>
    <row r="7" spans="1:26" x14ac:dyDescent="0.2">
      <c r="A7" s="1" t="s">
        <v>1</v>
      </c>
      <c r="B7" s="300">
        <f>B5+B6</f>
        <v>0</v>
      </c>
      <c r="C7" s="279"/>
      <c r="D7" s="280"/>
      <c r="E7" s="280"/>
      <c r="F7" s="280"/>
      <c r="G7" s="280"/>
      <c r="H7" s="280"/>
    </row>
    <row r="8" spans="1:26" x14ac:dyDescent="0.2">
      <c r="A8" s="1" t="s">
        <v>498</v>
      </c>
      <c r="B8" s="299">
        <v>1</v>
      </c>
      <c r="C8" s="279"/>
      <c r="D8" s="279"/>
      <c r="E8" s="279"/>
      <c r="F8" s="279"/>
      <c r="G8" s="279"/>
      <c r="H8" s="279"/>
    </row>
    <row r="9" spans="1:26" x14ac:dyDescent="0.2">
      <c r="A9" s="1" t="s">
        <v>499</v>
      </c>
      <c r="B9" s="300">
        <f>B7*B8</f>
        <v>0</v>
      </c>
      <c r="C9" s="280"/>
      <c r="D9" s="280"/>
      <c r="E9" s="280"/>
      <c r="F9" s="280"/>
      <c r="G9" s="280"/>
      <c r="H9" s="280"/>
    </row>
    <row r="10" spans="1:26" x14ac:dyDescent="0.2">
      <c r="J10" t="s">
        <v>455</v>
      </c>
      <c r="O10" t="s">
        <v>451</v>
      </c>
      <c r="U10" t="s">
        <v>452</v>
      </c>
      <c r="Y10" t="s">
        <v>453</v>
      </c>
      <c r="Z10" t="s">
        <v>454</v>
      </c>
    </row>
    <row r="11" spans="1:26" ht="18" x14ac:dyDescent="0.2">
      <c r="A11" s="451" t="s">
        <v>576</v>
      </c>
      <c r="B11" s="451"/>
      <c r="C11" s="451"/>
      <c r="D11" s="451"/>
      <c r="E11" s="451"/>
      <c r="F11" s="451"/>
      <c r="G11" s="451"/>
      <c r="H11" s="451"/>
      <c r="I11" s="253"/>
      <c r="J11" s="253"/>
      <c r="K11" s="253"/>
      <c r="L11" s="253"/>
      <c r="M11" s="253"/>
      <c r="N11" s="253"/>
      <c r="O11" s="253"/>
      <c r="P11" s="253"/>
    </row>
    <row r="12" spans="1:26" x14ac:dyDescent="0.2">
      <c r="J12" s="2">
        <v>0.65</v>
      </c>
      <c r="K12" s="271">
        <f>J12+0.05</f>
        <v>0.70000000000000007</v>
      </c>
      <c r="L12" s="271">
        <f t="shared" ref="L12:N12" si="0">K12+0.05</f>
        <v>0.75000000000000011</v>
      </c>
      <c r="M12" s="271">
        <f t="shared" si="0"/>
        <v>0.80000000000000016</v>
      </c>
      <c r="N12" s="271">
        <f t="shared" si="0"/>
        <v>0.8500000000000002</v>
      </c>
      <c r="O12" s="2">
        <v>0.4</v>
      </c>
      <c r="P12" s="2">
        <f>O12+0.05</f>
        <v>0.45</v>
      </c>
      <c r="Q12" s="2">
        <f t="shared" ref="Q12:T12" si="1">P12+0.05</f>
        <v>0.5</v>
      </c>
      <c r="R12" s="2">
        <f t="shared" si="1"/>
        <v>0.55000000000000004</v>
      </c>
      <c r="S12" s="2">
        <f t="shared" si="1"/>
        <v>0.60000000000000009</v>
      </c>
      <c r="T12" s="2">
        <f t="shared" si="1"/>
        <v>0.65000000000000013</v>
      </c>
      <c r="U12" s="2">
        <v>0.1</v>
      </c>
      <c r="V12" s="5">
        <f>U12+0.05</f>
        <v>0.15000000000000002</v>
      </c>
      <c r="W12" s="5">
        <f t="shared" ref="W12:X12" si="2">V12+0.05</f>
        <v>0.2</v>
      </c>
      <c r="X12" s="5">
        <f t="shared" si="2"/>
        <v>0.25</v>
      </c>
    </row>
    <row r="13" spans="1:26" ht="27.75" x14ac:dyDescent="0.2">
      <c r="A13" s="258" t="s">
        <v>396</v>
      </c>
      <c r="B13" s="258" t="s">
        <v>397</v>
      </c>
      <c r="C13" s="259" t="s">
        <v>450</v>
      </c>
      <c r="D13" s="259" t="s">
        <v>456</v>
      </c>
      <c r="E13" s="259" t="s">
        <v>457</v>
      </c>
      <c r="F13" s="259" t="s">
        <v>398</v>
      </c>
      <c r="G13" s="259" t="s">
        <v>645</v>
      </c>
      <c r="H13" s="259" t="s">
        <v>399</v>
      </c>
      <c r="O13" s="270" t="s">
        <v>2</v>
      </c>
      <c r="P13" s="270" t="s">
        <v>3</v>
      </c>
      <c r="Q13" s="270" t="s">
        <v>4</v>
      </c>
      <c r="R13" s="270" t="s">
        <v>5</v>
      </c>
      <c r="S13" s="270" t="s">
        <v>6</v>
      </c>
      <c r="T13" s="270" t="s">
        <v>2</v>
      </c>
      <c r="U13" s="270" t="s">
        <v>3</v>
      </c>
      <c r="V13" s="270" t="s">
        <v>4</v>
      </c>
      <c r="W13" s="270" t="s">
        <v>5</v>
      </c>
      <c r="X13" s="270" t="s">
        <v>6</v>
      </c>
    </row>
    <row r="14" spans="1:26" x14ac:dyDescent="0.2">
      <c r="A14" s="504" t="s">
        <v>400</v>
      </c>
      <c r="B14" s="254" t="s">
        <v>486</v>
      </c>
      <c r="C14" s="268">
        <v>0</v>
      </c>
      <c r="D14" s="9">
        <f t="shared" ref="D14:D40" si="3">$B$9*C14</f>
        <v>0</v>
      </c>
      <c r="E14" s="255">
        <v>15</v>
      </c>
      <c r="F14" s="9">
        <f>D14*E14</f>
        <v>0</v>
      </c>
      <c r="G14" s="269">
        <v>0.1</v>
      </c>
      <c r="H14" s="9">
        <f>(F14-F14*G14)</f>
        <v>0</v>
      </c>
      <c r="J14">
        <f>$D$14*J12</f>
        <v>0</v>
      </c>
      <c r="K14">
        <f>$D$14*K12</f>
        <v>0</v>
      </c>
      <c r="L14">
        <f>$D$14*L12</f>
        <v>0</v>
      </c>
      <c r="M14">
        <f>$D$14*M12</f>
        <v>0</v>
      </c>
      <c r="N14">
        <f>$D$14*N12</f>
        <v>0</v>
      </c>
    </row>
    <row r="15" spans="1:26" x14ac:dyDescent="0.2">
      <c r="A15" s="505"/>
      <c r="B15" s="254" t="s">
        <v>487</v>
      </c>
      <c r="C15" s="268">
        <v>0</v>
      </c>
      <c r="D15" s="9">
        <f t="shared" si="3"/>
        <v>0</v>
      </c>
      <c r="E15" s="255">
        <v>7</v>
      </c>
      <c r="F15" s="9">
        <f t="shared" ref="F15:F40" si="4">D15*E15</f>
        <v>0</v>
      </c>
      <c r="G15" s="269">
        <v>0.05</v>
      </c>
      <c r="H15" s="9">
        <f>(F15-F15*G15)</f>
        <v>0</v>
      </c>
    </row>
    <row r="16" spans="1:26" x14ac:dyDescent="0.2">
      <c r="A16" s="505"/>
      <c r="B16" s="254" t="s">
        <v>488</v>
      </c>
      <c r="C16" s="268">
        <v>0</v>
      </c>
      <c r="D16" s="9">
        <f t="shared" si="3"/>
        <v>0</v>
      </c>
      <c r="E16" s="255">
        <v>4</v>
      </c>
      <c r="F16" s="9">
        <f t="shared" si="4"/>
        <v>0</v>
      </c>
      <c r="G16" s="269">
        <v>0</v>
      </c>
      <c r="H16" s="9">
        <f t="shared" ref="H16:H40" si="5">(F16-F16*G16)</f>
        <v>0</v>
      </c>
    </row>
    <row r="17" spans="1:8" x14ac:dyDescent="0.2">
      <c r="A17" s="505"/>
      <c r="B17" s="254" t="s">
        <v>489</v>
      </c>
      <c r="C17" s="268">
        <v>0</v>
      </c>
      <c r="D17" s="9">
        <f t="shared" si="3"/>
        <v>0</v>
      </c>
      <c r="E17" s="255">
        <v>7</v>
      </c>
      <c r="F17" s="9">
        <f t="shared" si="4"/>
        <v>0</v>
      </c>
      <c r="G17" s="269">
        <v>0.02</v>
      </c>
      <c r="H17" s="9">
        <f t="shared" si="5"/>
        <v>0</v>
      </c>
    </row>
    <row r="18" spans="1:8" x14ac:dyDescent="0.2">
      <c r="A18" s="505"/>
      <c r="B18" s="254" t="s">
        <v>491</v>
      </c>
      <c r="C18" s="268">
        <v>0</v>
      </c>
      <c r="D18" s="9">
        <f t="shared" si="3"/>
        <v>0</v>
      </c>
      <c r="E18" s="255">
        <v>20</v>
      </c>
      <c r="F18" s="9">
        <f t="shared" si="4"/>
        <v>0</v>
      </c>
      <c r="G18" s="269">
        <v>0</v>
      </c>
      <c r="H18" s="9">
        <f t="shared" si="5"/>
        <v>0</v>
      </c>
    </row>
    <row r="19" spans="1:8" x14ac:dyDescent="0.2">
      <c r="A19" s="505"/>
      <c r="B19" s="254"/>
      <c r="C19" s="268">
        <v>0</v>
      </c>
      <c r="D19" s="9">
        <f t="shared" si="3"/>
        <v>0</v>
      </c>
      <c r="E19" s="255">
        <v>7</v>
      </c>
      <c r="F19" s="9">
        <f t="shared" si="4"/>
        <v>0</v>
      </c>
      <c r="G19" s="269">
        <v>0.1</v>
      </c>
      <c r="H19" s="9">
        <f t="shared" si="5"/>
        <v>0</v>
      </c>
    </row>
    <row r="20" spans="1:8" x14ac:dyDescent="0.2">
      <c r="A20" s="505"/>
      <c r="B20" s="254"/>
      <c r="C20" s="268">
        <v>0</v>
      </c>
      <c r="D20" s="9">
        <f t="shared" si="3"/>
        <v>0</v>
      </c>
      <c r="E20" s="255">
        <v>6</v>
      </c>
      <c r="F20" s="9">
        <f t="shared" si="4"/>
        <v>0</v>
      </c>
      <c r="G20" s="269">
        <v>0.02</v>
      </c>
      <c r="H20" s="9">
        <f t="shared" si="5"/>
        <v>0</v>
      </c>
    </row>
    <row r="21" spans="1:8" x14ac:dyDescent="0.2">
      <c r="A21" s="505"/>
      <c r="B21" s="254"/>
      <c r="C21" s="268">
        <v>0</v>
      </c>
      <c r="D21" s="9">
        <f t="shared" si="3"/>
        <v>0</v>
      </c>
      <c r="E21" s="255"/>
      <c r="F21" s="9">
        <f t="shared" si="4"/>
        <v>0</v>
      </c>
      <c r="G21" s="269">
        <v>0</v>
      </c>
      <c r="H21" s="9">
        <f t="shared" si="5"/>
        <v>0</v>
      </c>
    </row>
    <row r="22" spans="1:8" x14ac:dyDescent="0.2">
      <c r="A22" s="506"/>
      <c r="B22" s="254"/>
      <c r="C22" s="268">
        <v>0</v>
      </c>
      <c r="D22" s="9">
        <f t="shared" si="3"/>
        <v>0</v>
      </c>
      <c r="E22" s="255"/>
      <c r="F22" s="9">
        <f t="shared" si="4"/>
        <v>0</v>
      </c>
      <c r="G22" s="269">
        <v>0</v>
      </c>
      <c r="H22" s="9">
        <f t="shared" si="5"/>
        <v>0</v>
      </c>
    </row>
    <row r="23" spans="1:8" x14ac:dyDescent="0.2">
      <c r="A23" s="298" t="s">
        <v>504</v>
      </c>
      <c r="B23" s="293"/>
      <c r="C23" s="294">
        <f>B9*B23</f>
        <v>0</v>
      </c>
      <c r="D23" s="9"/>
      <c r="E23" s="255"/>
      <c r="F23" s="9"/>
      <c r="G23" s="269"/>
      <c r="H23" s="9"/>
    </row>
    <row r="24" spans="1:8" x14ac:dyDescent="0.2">
      <c r="A24" s="504" t="s">
        <v>402</v>
      </c>
      <c r="B24" s="254" t="s">
        <v>486</v>
      </c>
      <c r="C24" s="268">
        <v>0</v>
      </c>
      <c r="D24" s="9">
        <f>C$23*C24</f>
        <v>0</v>
      </c>
      <c r="E24" s="255">
        <v>10</v>
      </c>
      <c r="F24" s="9">
        <f t="shared" si="4"/>
        <v>0</v>
      </c>
      <c r="G24" s="269">
        <v>0.1</v>
      </c>
      <c r="H24" s="9">
        <f t="shared" si="5"/>
        <v>0</v>
      </c>
    </row>
    <row r="25" spans="1:8" x14ac:dyDescent="0.2">
      <c r="A25" s="505"/>
      <c r="B25" s="254" t="s">
        <v>487</v>
      </c>
      <c r="C25" s="268">
        <v>0</v>
      </c>
      <c r="D25" s="9">
        <f>C$23*C25</f>
        <v>0</v>
      </c>
      <c r="E25" s="255">
        <v>10</v>
      </c>
      <c r="F25" s="9">
        <f t="shared" si="4"/>
        <v>0</v>
      </c>
      <c r="G25" s="269">
        <v>0.1</v>
      </c>
      <c r="H25" s="9">
        <f t="shared" si="5"/>
        <v>0</v>
      </c>
    </row>
    <row r="26" spans="1:8" x14ac:dyDescent="0.2">
      <c r="A26" s="505"/>
      <c r="B26" s="254" t="s">
        <v>488</v>
      </c>
      <c r="C26" s="268">
        <v>0</v>
      </c>
      <c r="D26" s="9">
        <f>C$23*C26</f>
        <v>0</v>
      </c>
      <c r="E26" s="255">
        <v>10</v>
      </c>
      <c r="F26" s="9">
        <f t="shared" si="4"/>
        <v>0</v>
      </c>
      <c r="G26" s="269">
        <v>0.05</v>
      </c>
      <c r="H26" s="9">
        <f t="shared" si="5"/>
        <v>0</v>
      </c>
    </row>
    <row r="27" spans="1:8" x14ac:dyDescent="0.2">
      <c r="A27" s="505"/>
      <c r="B27" s="254" t="s">
        <v>489</v>
      </c>
      <c r="C27" s="268">
        <v>0</v>
      </c>
      <c r="D27" s="9">
        <f t="shared" ref="D27:D31" si="6">C$23*C27</f>
        <v>0</v>
      </c>
      <c r="E27" s="255">
        <v>20</v>
      </c>
      <c r="F27" s="9">
        <f t="shared" si="4"/>
        <v>0</v>
      </c>
      <c r="G27" s="269">
        <v>0</v>
      </c>
      <c r="H27" s="9">
        <f t="shared" si="5"/>
        <v>0</v>
      </c>
    </row>
    <row r="28" spans="1:8" x14ac:dyDescent="0.2">
      <c r="A28" s="505"/>
      <c r="B28" s="254" t="s">
        <v>490</v>
      </c>
      <c r="C28" s="268">
        <v>0</v>
      </c>
      <c r="D28" s="9">
        <f t="shared" si="6"/>
        <v>0</v>
      </c>
      <c r="E28" s="255"/>
      <c r="F28" s="9">
        <f t="shared" si="4"/>
        <v>0</v>
      </c>
      <c r="G28" s="269">
        <v>0</v>
      </c>
      <c r="H28" s="9">
        <f t="shared" si="5"/>
        <v>0</v>
      </c>
    </row>
    <row r="29" spans="1:8" x14ac:dyDescent="0.2">
      <c r="A29" s="505"/>
      <c r="B29" s="254"/>
      <c r="C29" s="268">
        <v>0</v>
      </c>
      <c r="D29" s="9">
        <f t="shared" si="6"/>
        <v>0</v>
      </c>
      <c r="E29" s="255"/>
      <c r="F29" s="9">
        <f t="shared" si="4"/>
        <v>0</v>
      </c>
      <c r="G29" s="269">
        <v>0</v>
      </c>
      <c r="H29" s="9">
        <f t="shared" si="5"/>
        <v>0</v>
      </c>
    </row>
    <row r="30" spans="1:8" x14ac:dyDescent="0.2">
      <c r="A30" s="505"/>
      <c r="B30" s="254"/>
      <c r="C30" s="268">
        <v>0</v>
      </c>
      <c r="D30" s="9">
        <f t="shared" si="6"/>
        <v>0</v>
      </c>
      <c r="E30" s="255"/>
      <c r="F30" s="9">
        <f t="shared" si="4"/>
        <v>0</v>
      </c>
      <c r="G30" s="269">
        <v>0</v>
      </c>
      <c r="H30" s="9">
        <f t="shared" si="5"/>
        <v>0</v>
      </c>
    </row>
    <row r="31" spans="1:8" x14ac:dyDescent="0.2">
      <c r="A31" s="506"/>
      <c r="B31" s="254"/>
      <c r="C31" s="268">
        <v>0</v>
      </c>
      <c r="D31" s="9">
        <f t="shared" si="6"/>
        <v>0</v>
      </c>
      <c r="E31" s="255"/>
      <c r="F31" s="9">
        <f t="shared" si="4"/>
        <v>0</v>
      </c>
      <c r="G31" s="269">
        <v>0</v>
      </c>
      <c r="H31" s="9">
        <f t="shared" si="5"/>
        <v>0</v>
      </c>
    </row>
    <row r="32" spans="1:8" x14ac:dyDescent="0.2">
      <c r="A32" s="298" t="s">
        <v>505</v>
      </c>
      <c r="B32" s="293"/>
      <c r="C32" s="254">
        <f>B9*B32</f>
        <v>0</v>
      </c>
      <c r="D32" s="9"/>
      <c r="E32" s="255"/>
      <c r="F32" s="9"/>
      <c r="G32" s="269"/>
      <c r="H32" s="9"/>
    </row>
    <row r="33" spans="1:8" x14ac:dyDescent="0.2">
      <c r="A33" s="295" t="s">
        <v>462</v>
      </c>
      <c r="B33" s="254"/>
      <c r="C33" s="268">
        <v>0</v>
      </c>
      <c r="D33" s="9">
        <f>C$32*C33</f>
        <v>0</v>
      </c>
      <c r="E33" s="255"/>
      <c r="F33" s="9">
        <f t="shared" si="4"/>
        <v>0</v>
      </c>
      <c r="G33" s="269">
        <v>0</v>
      </c>
      <c r="H33" s="9">
        <f t="shared" si="5"/>
        <v>0</v>
      </c>
    </row>
    <row r="34" spans="1:8" x14ac:dyDescent="0.2">
      <c r="A34" s="296"/>
      <c r="B34" s="254"/>
      <c r="C34" s="268">
        <v>0</v>
      </c>
      <c r="D34" s="9">
        <f>C$32*C34</f>
        <v>0</v>
      </c>
      <c r="E34" s="255"/>
      <c r="F34" s="9">
        <f t="shared" si="4"/>
        <v>0</v>
      </c>
      <c r="G34" s="269">
        <v>0</v>
      </c>
      <c r="H34" s="9">
        <f t="shared" si="5"/>
        <v>0</v>
      </c>
    </row>
    <row r="35" spans="1:8" x14ac:dyDescent="0.2">
      <c r="A35" s="296"/>
      <c r="B35" s="254"/>
      <c r="C35" s="268">
        <v>0</v>
      </c>
      <c r="D35" s="9">
        <f>C$32*C35</f>
        <v>0</v>
      </c>
      <c r="E35" s="255"/>
      <c r="F35" s="9">
        <f t="shared" si="4"/>
        <v>0</v>
      </c>
      <c r="G35" s="269">
        <v>0</v>
      </c>
      <c r="H35" s="9">
        <f t="shared" si="5"/>
        <v>0</v>
      </c>
    </row>
    <row r="36" spans="1:8" x14ac:dyDescent="0.2">
      <c r="A36" s="297"/>
      <c r="B36" s="254"/>
      <c r="C36" s="268">
        <v>0</v>
      </c>
      <c r="D36" s="9">
        <f>C$32*C36</f>
        <v>0</v>
      </c>
      <c r="E36" s="255"/>
      <c r="F36" s="9">
        <f t="shared" si="4"/>
        <v>0</v>
      </c>
      <c r="G36" s="269">
        <v>0</v>
      </c>
      <c r="H36" s="9">
        <f t="shared" si="5"/>
        <v>0</v>
      </c>
    </row>
    <row r="37" spans="1:8" x14ac:dyDescent="0.2">
      <c r="A37" s="520" t="s">
        <v>506</v>
      </c>
      <c r="B37" s="254" t="s">
        <v>492</v>
      </c>
      <c r="C37" s="268">
        <v>0</v>
      </c>
      <c r="D37" s="9">
        <f t="shared" si="3"/>
        <v>0</v>
      </c>
      <c r="E37" s="255">
        <v>6</v>
      </c>
      <c r="F37" s="9">
        <f t="shared" si="4"/>
        <v>0</v>
      </c>
      <c r="G37" s="269">
        <v>0.05</v>
      </c>
      <c r="H37" s="9">
        <f t="shared" si="5"/>
        <v>0</v>
      </c>
    </row>
    <row r="38" spans="1:8" x14ac:dyDescent="0.2">
      <c r="A38" s="520"/>
      <c r="B38" s="254" t="s">
        <v>493</v>
      </c>
      <c r="C38" s="268">
        <v>0</v>
      </c>
      <c r="D38" s="9">
        <f t="shared" si="3"/>
        <v>0</v>
      </c>
      <c r="E38" s="255"/>
      <c r="F38" s="9">
        <f t="shared" si="4"/>
        <v>0</v>
      </c>
      <c r="G38" s="269">
        <v>0</v>
      </c>
      <c r="H38" s="9">
        <f t="shared" si="5"/>
        <v>0</v>
      </c>
    </row>
    <row r="39" spans="1:8" x14ac:dyDescent="0.2">
      <c r="A39" s="520"/>
      <c r="B39" s="254" t="s">
        <v>494</v>
      </c>
      <c r="C39" s="268">
        <v>0</v>
      </c>
      <c r="D39" s="9">
        <f t="shared" si="3"/>
        <v>0</v>
      </c>
      <c r="E39" s="255"/>
      <c r="F39" s="9">
        <f t="shared" si="4"/>
        <v>0</v>
      </c>
      <c r="G39" s="269">
        <v>0</v>
      </c>
      <c r="H39" s="9">
        <f t="shared" si="5"/>
        <v>0</v>
      </c>
    </row>
    <row r="40" spans="1:8" x14ac:dyDescent="0.2">
      <c r="A40" s="520"/>
      <c r="B40" s="254" t="s">
        <v>495</v>
      </c>
      <c r="C40" s="268">
        <v>0</v>
      </c>
      <c r="D40" s="9">
        <f t="shared" si="3"/>
        <v>0</v>
      </c>
      <c r="E40" s="255"/>
      <c r="F40" s="9">
        <f t="shared" si="4"/>
        <v>0</v>
      </c>
      <c r="G40" s="269">
        <v>0</v>
      </c>
      <c r="H40" s="9">
        <f t="shared" si="5"/>
        <v>0</v>
      </c>
    </row>
    <row r="41" spans="1:8" x14ac:dyDescent="0.2">
      <c r="A41" s="503" t="s">
        <v>406</v>
      </c>
      <c r="B41" s="503"/>
      <c r="C41" s="503"/>
      <c r="D41" s="503"/>
      <c r="E41" s="503"/>
      <c r="F41" s="503"/>
      <c r="G41" s="503"/>
      <c r="H41" s="503"/>
    </row>
    <row r="43" spans="1:8" ht="18" x14ac:dyDescent="0.2">
      <c r="A43" s="507" t="s">
        <v>577</v>
      </c>
      <c r="B43" s="508"/>
      <c r="C43" s="508"/>
      <c r="D43" s="508"/>
      <c r="E43" s="508"/>
      <c r="F43" s="508"/>
      <c r="G43" s="508"/>
      <c r="H43" s="509"/>
    </row>
    <row r="44" spans="1:8" x14ac:dyDescent="0.2">
      <c r="A44" s="510" t="s">
        <v>0</v>
      </c>
      <c r="B44" s="284">
        <v>0.35</v>
      </c>
      <c r="C44" s="284">
        <f>B44+0.05</f>
        <v>0.39999999999999997</v>
      </c>
      <c r="D44" s="284">
        <f t="shared" ref="D44:G44" si="7">C44+0.05</f>
        <v>0.44999999999999996</v>
      </c>
      <c r="E44" s="284">
        <f t="shared" si="7"/>
        <v>0.49999999999999994</v>
      </c>
      <c r="F44" s="284">
        <f t="shared" si="7"/>
        <v>0.54999999999999993</v>
      </c>
      <c r="G44" s="284">
        <f t="shared" si="7"/>
        <v>0.6</v>
      </c>
      <c r="H44" s="284">
        <f>G44+0.05</f>
        <v>0.65</v>
      </c>
    </row>
    <row r="45" spans="1:8" x14ac:dyDescent="0.2">
      <c r="A45" s="511"/>
      <c r="B45" s="275" t="s">
        <v>2</v>
      </c>
      <c r="C45" s="275" t="s">
        <v>3</v>
      </c>
      <c r="D45" s="275" t="s">
        <v>4</v>
      </c>
      <c r="E45" s="275" t="s">
        <v>5</v>
      </c>
      <c r="F45" s="275" t="s">
        <v>6</v>
      </c>
      <c r="G45" s="275" t="s">
        <v>170</v>
      </c>
      <c r="H45" s="275" t="s">
        <v>169</v>
      </c>
    </row>
    <row r="46" spans="1:8" x14ac:dyDescent="0.2">
      <c r="A46" s="9" t="str">
        <f t="shared" ref="A46:A54" si="8">B14</f>
        <v>Onion</v>
      </c>
      <c r="B46" s="9">
        <f t="shared" ref="B46:B54" si="9">H14*$B$44</f>
        <v>0</v>
      </c>
      <c r="C46" s="9">
        <f t="shared" ref="C46:H61" si="10">(B46/B$44)*C$44</f>
        <v>0</v>
      </c>
      <c r="D46" s="9">
        <f t="shared" si="10"/>
        <v>0</v>
      </c>
      <c r="E46" s="9">
        <f t="shared" si="10"/>
        <v>0</v>
      </c>
      <c r="F46" s="9">
        <f t="shared" si="10"/>
        <v>0</v>
      </c>
      <c r="G46" s="9">
        <f t="shared" si="10"/>
        <v>0</v>
      </c>
      <c r="H46" s="9">
        <f t="shared" si="10"/>
        <v>0</v>
      </c>
    </row>
    <row r="47" spans="1:8" x14ac:dyDescent="0.2">
      <c r="A47" s="9" t="str">
        <f t="shared" si="8"/>
        <v>Tomato</v>
      </c>
      <c r="B47" s="9">
        <f t="shared" si="9"/>
        <v>0</v>
      </c>
      <c r="C47" s="9">
        <f t="shared" si="10"/>
        <v>0</v>
      </c>
      <c r="D47" s="9">
        <f t="shared" si="10"/>
        <v>0</v>
      </c>
      <c r="E47" s="9">
        <f t="shared" si="10"/>
        <v>0</v>
      </c>
      <c r="F47" s="9">
        <f t="shared" si="10"/>
        <v>0</v>
      </c>
      <c r="G47" s="9">
        <f t="shared" si="10"/>
        <v>0</v>
      </c>
      <c r="H47" s="9">
        <f t="shared" si="10"/>
        <v>0</v>
      </c>
    </row>
    <row r="48" spans="1:8" x14ac:dyDescent="0.2">
      <c r="A48" s="9" t="str">
        <f t="shared" si="8"/>
        <v>Okra</v>
      </c>
      <c r="B48" s="9">
        <f t="shared" si="9"/>
        <v>0</v>
      </c>
      <c r="C48" s="9">
        <f t="shared" si="10"/>
        <v>0</v>
      </c>
      <c r="D48" s="9">
        <f t="shared" si="10"/>
        <v>0</v>
      </c>
      <c r="E48" s="9">
        <f t="shared" si="10"/>
        <v>0</v>
      </c>
      <c r="F48" s="9">
        <f t="shared" si="10"/>
        <v>0</v>
      </c>
      <c r="G48" s="9">
        <f t="shared" si="10"/>
        <v>0</v>
      </c>
      <c r="H48" s="9">
        <f t="shared" si="10"/>
        <v>0</v>
      </c>
    </row>
    <row r="49" spans="1:8" x14ac:dyDescent="0.2">
      <c r="A49" s="9" t="str">
        <f t="shared" si="8"/>
        <v>Chilli</v>
      </c>
      <c r="B49" s="9">
        <f t="shared" si="9"/>
        <v>0</v>
      </c>
      <c r="C49" s="9">
        <f t="shared" si="10"/>
        <v>0</v>
      </c>
      <c r="D49" s="9">
        <f t="shared" si="10"/>
        <v>0</v>
      </c>
      <c r="E49" s="9">
        <f t="shared" si="10"/>
        <v>0</v>
      </c>
      <c r="F49" s="9">
        <f t="shared" si="10"/>
        <v>0</v>
      </c>
      <c r="G49" s="9">
        <f t="shared" si="10"/>
        <v>0</v>
      </c>
      <c r="H49" s="9">
        <f t="shared" si="10"/>
        <v>0</v>
      </c>
    </row>
    <row r="50" spans="1:8" x14ac:dyDescent="0.2">
      <c r="A50" s="9" t="str">
        <f t="shared" si="8"/>
        <v>Potato</v>
      </c>
      <c r="B50" s="9">
        <f t="shared" si="9"/>
        <v>0</v>
      </c>
      <c r="C50" s="9">
        <f t="shared" si="10"/>
        <v>0</v>
      </c>
      <c r="D50" s="9">
        <f t="shared" si="10"/>
        <v>0</v>
      </c>
      <c r="E50" s="9">
        <f t="shared" si="10"/>
        <v>0</v>
      </c>
      <c r="F50" s="9">
        <f t="shared" si="10"/>
        <v>0</v>
      </c>
      <c r="G50" s="9">
        <f t="shared" si="10"/>
        <v>0</v>
      </c>
      <c r="H50" s="9">
        <f t="shared" si="10"/>
        <v>0</v>
      </c>
    </row>
    <row r="51" spans="1:8" x14ac:dyDescent="0.2">
      <c r="A51" s="9">
        <f t="shared" si="8"/>
        <v>0</v>
      </c>
      <c r="B51" s="9">
        <f t="shared" si="9"/>
        <v>0</v>
      </c>
      <c r="C51" s="9">
        <f t="shared" si="10"/>
        <v>0</v>
      </c>
      <c r="D51" s="9">
        <f t="shared" si="10"/>
        <v>0</v>
      </c>
      <c r="E51" s="9">
        <f t="shared" si="10"/>
        <v>0</v>
      </c>
      <c r="F51" s="9">
        <f t="shared" si="10"/>
        <v>0</v>
      </c>
      <c r="G51" s="9">
        <f t="shared" si="10"/>
        <v>0</v>
      </c>
      <c r="H51" s="9">
        <f t="shared" si="10"/>
        <v>0</v>
      </c>
    </row>
    <row r="52" spans="1:8" x14ac:dyDescent="0.2">
      <c r="A52" s="9">
        <f t="shared" si="8"/>
        <v>0</v>
      </c>
      <c r="B52" s="9">
        <f t="shared" si="9"/>
        <v>0</v>
      </c>
      <c r="C52" s="9">
        <f t="shared" si="10"/>
        <v>0</v>
      </c>
      <c r="D52" s="9">
        <f t="shared" si="10"/>
        <v>0</v>
      </c>
      <c r="E52" s="9">
        <f t="shared" si="10"/>
        <v>0</v>
      </c>
      <c r="F52" s="9">
        <f t="shared" si="10"/>
        <v>0</v>
      </c>
      <c r="G52" s="9">
        <f t="shared" si="10"/>
        <v>0</v>
      </c>
      <c r="H52" s="9">
        <f t="shared" si="10"/>
        <v>0</v>
      </c>
    </row>
    <row r="53" spans="1:8" x14ac:dyDescent="0.2">
      <c r="A53" s="9">
        <f t="shared" si="8"/>
        <v>0</v>
      </c>
      <c r="B53" s="9">
        <f t="shared" si="9"/>
        <v>0</v>
      </c>
      <c r="C53" s="9">
        <f t="shared" si="10"/>
        <v>0</v>
      </c>
      <c r="D53" s="9">
        <f t="shared" si="10"/>
        <v>0</v>
      </c>
      <c r="E53" s="9">
        <f t="shared" si="10"/>
        <v>0</v>
      </c>
      <c r="F53" s="9">
        <f t="shared" si="10"/>
        <v>0</v>
      </c>
      <c r="G53" s="9">
        <f t="shared" si="10"/>
        <v>0</v>
      </c>
      <c r="H53" s="9">
        <f t="shared" si="10"/>
        <v>0</v>
      </c>
    </row>
    <row r="54" spans="1:8" x14ac:dyDescent="0.2">
      <c r="A54" s="9">
        <f t="shared" si="8"/>
        <v>0</v>
      </c>
      <c r="B54" s="9">
        <f t="shared" si="9"/>
        <v>0</v>
      </c>
      <c r="C54" s="9">
        <f t="shared" si="10"/>
        <v>0</v>
      </c>
      <c r="D54" s="9">
        <f t="shared" si="10"/>
        <v>0</v>
      </c>
      <c r="E54" s="9">
        <f t="shared" si="10"/>
        <v>0</v>
      </c>
      <c r="F54" s="9">
        <f t="shared" si="10"/>
        <v>0</v>
      </c>
      <c r="G54" s="9">
        <f t="shared" si="10"/>
        <v>0</v>
      </c>
      <c r="H54" s="9">
        <f t="shared" si="10"/>
        <v>0</v>
      </c>
    </row>
    <row r="55" spans="1:8" x14ac:dyDescent="0.2">
      <c r="A55" s="9" t="str">
        <f t="shared" ref="A55:A62" si="11">B24</f>
        <v>Onion</v>
      </c>
      <c r="B55" s="9">
        <f t="shared" ref="B55:B61" si="12">H24*$B$44</f>
        <v>0</v>
      </c>
      <c r="C55" s="9">
        <f t="shared" si="10"/>
        <v>0</v>
      </c>
      <c r="D55" s="9">
        <f t="shared" si="10"/>
        <v>0</v>
      </c>
      <c r="E55" s="9">
        <f t="shared" si="10"/>
        <v>0</v>
      </c>
      <c r="F55" s="9">
        <f t="shared" si="10"/>
        <v>0</v>
      </c>
      <c r="G55" s="9">
        <f t="shared" si="10"/>
        <v>0</v>
      </c>
      <c r="H55" s="9">
        <f t="shared" si="10"/>
        <v>0</v>
      </c>
    </row>
    <row r="56" spans="1:8" x14ac:dyDescent="0.2">
      <c r="A56" s="9" t="str">
        <f t="shared" si="11"/>
        <v>Tomato</v>
      </c>
      <c r="B56" s="9">
        <f t="shared" si="12"/>
        <v>0</v>
      </c>
      <c r="C56" s="9">
        <f t="shared" si="10"/>
        <v>0</v>
      </c>
      <c r="D56" s="9">
        <f t="shared" si="10"/>
        <v>0</v>
      </c>
      <c r="E56" s="9">
        <f t="shared" si="10"/>
        <v>0</v>
      </c>
      <c r="F56" s="9">
        <f t="shared" si="10"/>
        <v>0</v>
      </c>
      <c r="G56" s="9">
        <f t="shared" si="10"/>
        <v>0</v>
      </c>
      <c r="H56" s="9">
        <f t="shared" si="10"/>
        <v>0</v>
      </c>
    </row>
    <row r="57" spans="1:8" x14ac:dyDescent="0.2">
      <c r="A57" s="9" t="str">
        <f t="shared" si="11"/>
        <v>Okra</v>
      </c>
      <c r="B57" s="9">
        <f t="shared" si="12"/>
        <v>0</v>
      </c>
      <c r="C57" s="9">
        <f t="shared" si="10"/>
        <v>0</v>
      </c>
      <c r="D57" s="9">
        <f t="shared" si="10"/>
        <v>0</v>
      </c>
      <c r="E57" s="9">
        <f t="shared" si="10"/>
        <v>0</v>
      </c>
      <c r="F57" s="9">
        <f t="shared" si="10"/>
        <v>0</v>
      </c>
      <c r="G57" s="9">
        <f t="shared" si="10"/>
        <v>0</v>
      </c>
      <c r="H57" s="9">
        <f t="shared" si="10"/>
        <v>0</v>
      </c>
    </row>
    <row r="58" spans="1:8" x14ac:dyDescent="0.2">
      <c r="A58" s="9" t="str">
        <f t="shared" si="11"/>
        <v>Chilli</v>
      </c>
      <c r="B58" s="9">
        <f t="shared" si="12"/>
        <v>0</v>
      </c>
      <c r="C58" s="9">
        <f t="shared" si="10"/>
        <v>0</v>
      </c>
      <c r="D58" s="9">
        <f t="shared" si="10"/>
        <v>0</v>
      </c>
      <c r="E58" s="9">
        <f t="shared" si="10"/>
        <v>0</v>
      </c>
      <c r="F58" s="9">
        <f t="shared" si="10"/>
        <v>0</v>
      </c>
      <c r="G58" s="9">
        <f t="shared" si="10"/>
        <v>0</v>
      </c>
      <c r="H58" s="9">
        <f t="shared" si="10"/>
        <v>0</v>
      </c>
    </row>
    <row r="59" spans="1:8" x14ac:dyDescent="0.2">
      <c r="A59" s="9" t="str">
        <f t="shared" si="11"/>
        <v>Brinjal</v>
      </c>
      <c r="B59" s="9">
        <f t="shared" si="12"/>
        <v>0</v>
      </c>
      <c r="C59" s="9">
        <f t="shared" si="10"/>
        <v>0</v>
      </c>
      <c r="D59" s="9">
        <f t="shared" si="10"/>
        <v>0</v>
      </c>
      <c r="E59" s="9">
        <f t="shared" si="10"/>
        <v>0</v>
      </c>
      <c r="F59" s="9">
        <f t="shared" si="10"/>
        <v>0</v>
      </c>
      <c r="G59" s="9">
        <f t="shared" si="10"/>
        <v>0</v>
      </c>
      <c r="H59" s="9">
        <f t="shared" si="10"/>
        <v>0</v>
      </c>
    </row>
    <row r="60" spans="1:8" x14ac:dyDescent="0.2">
      <c r="A60" s="9">
        <f t="shared" si="11"/>
        <v>0</v>
      </c>
      <c r="B60" s="9">
        <f t="shared" si="12"/>
        <v>0</v>
      </c>
      <c r="C60" s="9">
        <f t="shared" si="10"/>
        <v>0</v>
      </c>
      <c r="D60" s="9">
        <f t="shared" si="10"/>
        <v>0</v>
      </c>
      <c r="E60" s="9">
        <f t="shared" si="10"/>
        <v>0</v>
      </c>
      <c r="F60" s="9">
        <f t="shared" si="10"/>
        <v>0</v>
      </c>
      <c r="G60" s="9">
        <f t="shared" si="10"/>
        <v>0</v>
      </c>
      <c r="H60" s="9">
        <f t="shared" si="10"/>
        <v>0</v>
      </c>
    </row>
    <row r="61" spans="1:8" x14ac:dyDescent="0.2">
      <c r="A61" s="9">
        <f t="shared" si="11"/>
        <v>0</v>
      </c>
      <c r="B61" s="9">
        <f t="shared" si="12"/>
        <v>0</v>
      </c>
      <c r="C61" s="9">
        <f t="shared" si="10"/>
        <v>0</v>
      </c>
      <c r="D61" s="9">
        <f t="shared" si="10"/>
        <v>0</v>
      </c>
      <c r="E61" s="9">
        <f t="shared" si="10"/>
        <v>0</v>
      </c>
      <c r="F61" s="9">
        <f t="shared" si="10"/>
        <v>0</v>
      </c>
      <c r="G61" s="9">
        <f t="shared" si="10"/>
        <v>0</v>
      </c>
      <c r="H61" s="9">
        <f t="shared" si="10"/>
        <v>0</v>
      </c>
    </row>
    <row r="62" spans="1:8" x14ac:dyDescent="0.2">
      <c r="A62" s="9">
        <f t="shared" si="11"/>
        <v>0</v>
      </c>
      <c r="B62" s="9">
        <f t="shared" ref="B62" si="13">H31*$B$44</f>
        <v>0</v>
      </c>
      <c r="C62" s="9">
        <f t="shared" ref="C62:H70" si="14">(B62/B$44)*C$44</f>
        <v>0</v>
      </c>
      <c r="D62" s="9">
        <f t="shared" si="14"/>
        <v>0</v>
      </c>
      <c r="E62" s="9">
        <f t="shared" si="14"/>
        <v>0</v>
      </c>
      <c r="F62" s="9">
        <f t="shared" si="14"/>
        <v>0</v>
      </c>
      <c r="G62" s="9">
        <f t="shared" si="14"/>
        <v>0</v>
      </c>
      <c r="H62" s="9">
        <f t="shared" si="14"/>
        <v>0</v>
      </c>
    </row>
    <row r="63" spans="1:8" x14ac:dyDescent="0.2">
      <c r="A63" s="9">
        <f t="shared" ref="A63:A66" si="15">B33</f>
        <v>0</v>
      </c>
      <c r="B63" s="9">
        <f t="shared" ref="B63:B70" si="16">H33*$B$44</f>
        <v>0</v>
      </c>
      <c r="C63" s="9">
        <f t="shared" si="14"/>
        <v>0</v>
      </c>
      <c r="D63" s="9">
        <f t="shared" ref="D63:D66" si="17">(C63/C$44)*D$44</f>
        <v>0</v>
      </c>
      <c r="E63" s="9">
        <f t="shared" ref="E63:E66" si="18">(D63/D$44)*E$44</f>
        <v>0</v>
      </c>
      <c r="F63" s="9">
        <f t="shared" ref="F63:F66" si="19">(E63/E$44)*F$44</f>
        <v>0</v>
      </c>
      <c r="G63" s="9">
        <f t="shared" ref="G63:G66" si="20">(F63/F$44)*G$44</f>
        <v>0</v>
      </c>
      <c r="H63" s="9">
        <f t="shared" ref="H63:H66" si="21">(G63/G$44)*H$44</f>
        <v>0</v>
      </c>
    </row>
    <row r="64" spans="1:8" x14ac:dyDescent="0.2">
      <c r="A64" s="9">
        <f t="shared" si="15"/>
        <v>0</v>
      </c>
      <c r="B64" s="9">
        <f t="shared" si="16"/>
        <v>0</v>
      </c>
      <c r="C64" s="9">
        <f t="shared" si="14"/>
        <v>0</v>
      </c>
      <c r="D64" s="9">
        <f t="shared" si="17"/>
        <v>0</v>
      </c>
      <c r="E64" s="9">
        <f t="shared" si="18"/>
        <v>0</v>
      </c>
      <c r="F64" s="9">
        <f t="shared" si="19"/>
        <v>0</v>
      </c>
      <c r="G64" s="9">
        <f t="shared" si="20"/>
        <v>0</v>
      </c>
      <c r="H64" s="9">
        <f t="shared" si="21"/>
        <v>0</v>
      </c>
    </row>
    <row r="65" spans="1:8" x14ac:dyDescent="0.2">
      <c r="A65" s="9">
        <f t="shared" si="15"/>
        <v>0</v>
      </c>
      <c r="B65" s="9">
        <f t="shared" si="16"/>
        <v>0</v>
      </c>
      <c r="C65" s="9">
        <f t="shared" si="14"/>
        <v>0</v>
      </c>
      <c r="D65" s="9">
        <f t="shared" si="17"/>
        <v>0</v>
      </c>
      <c r="E65" s="9">
        <f t="shared" si="18"/>
        <v>0</v>
      </c>
      <c r="F65" s="9">
        <f t="shared" si="19"/>
        <v>0</v>
      </c>
      <c r="G65" s="9">
        <f t="shared" si="20"/>
        <v>0</v>
      </c>
      <c r="H65" s="9">
        <f t="shared" si="21"/>
        <v>0</v>
      </c>
    </row>
    <row r="66" spans="1:8" x14ac:dyDescent="0.2">
      <c r="A66" s="9">
        <f t="shared" si="15"/>
        <v>0</v>
      </c>
      <c r="B66" s="9">
        <f t="shared" si="16"/>
        <v>0</v>
      </c>
      <c r="C66" s="9">
        <f t="shared" si="14"/>
        <v>0</v>
      </c>
      <c r="D66" s="9">
        <f t="shared" si="17"/>
        <v>0</v>
      </c>
      <c r="E66" s="9">
        <f t="shared" si="18"/>
        <v>0</v>
      </c>
      <c r="F66" s="9">
        <f t="shared" si="19"/>
        <v>0</v>
      </c>
      <c r="G66" s="9">
        <f t="shared" si="20"/>
        <v>0</v>
      </c>
      <c r="H66" s="9">
        <f t="shared" si="21"/>
        <v>0</v>
      </c>
    </row>
    <row r="67" spans="1:8" x14ac:dyDescent="0.2">
      <c r="A67" s="9" t="str">
        <f>B37</f>
        <v>Pomegranate</v>
      </c>
      <c r="B67" s="9">
        <f t="shared" si="16"/>
        <v>0</v>
      </c>
      <c r="C67" s="9">
        <f t="shared" si="14"/>
        <v>0</v>
      </c>
      <c r="D67" s="9">
        <f t="shared" si="14"/>
        <v>0</v>
      </c>
      <c r="E67" s="9">
        <f t="shared" si="14"/>
        <v>0</v>
      </c>
      <c r="F67" s="9">
        <f t="shared" si="14"/>
        <v>0</v>
      </c>
      <c r="G67" s="9">
        <f t="shared" si="14"/>
        <v>0</v>
      </c>
      <c r="H67" s="9">
        <f t="shared" si="14"/>
        <v>0</v>
      </c>
    </row>
    <row r="68" spans="1:8" x14ac:dyDescent="0.2">
      <c r="A68" s="9" t="str">
        <f t="shared" ref="A68:A70" si="22">B38</f>
        <v>Custard Apple</v>
      </c>
      <c r="B68" s="9">
        <f t="shared" si="16"/>
        <v>0</v>
      </c>
      <c r="C68" s="9">
        <f t="shared" si="14"/>
        <v>0</v>
      </c>
      <c r="D68" s="9">
        <f t="shared" si="14"/>
        <v>0</v>
      </c>
      <c r="E68" s="9">
        <f t="shared" si="14"/>
        <v>0</v>
      </c>
      <c r="F68" s="9">
        <f t="shared" si="14"/>
        <v>0</v>
      </c>
      <c r="G68" s="9">
        <f t="shared" si="14"/>
        <v>0</v>
      </c>
      <c r="H68" s="9">
        <f t="shared" si="14"/>
        <v>0</v>
      </c>
    </row>
    <row r="69" spans="1:8" x14ac:dyDescent="0.2">
      <c r="A69" s="9" t="str">
        <f t="shared" si="22"/>
        <v>Guava</v>
      </c>
      <c r="B69" s="9">
        <f t="shared" si="16"/>
        <v>0</v>
      </c>
      <c r="C69" s="9">
        <f t="shared" si="14"/>
        <v>0</v>
      </c>
      <c r="D69" s="9">
        <f t="shared" si="14"/>
        <v>0</v>
      </c>
      <c r="E69" s="9">
        <f t="shared" si="14"/>
        <v>0</v>
      </c>
      <c r="F69" s="9">
        <f t="shared" si="14"/>
        <v>0</v>
      </c>
      <c r="G69" s="9">
        <f t="shared" si="14"/>
        <v>0</v>
      </c>
      <c r="H69" s="9">
        <f t="shared" si="14"/>
        <v>0</v>
      </c>
    </row>
    <row r="70" spans="1:8" x14ac:dyDescent="0.2">
      <c r="A70" s="9" t="str">
        <f t="shared" si="22"/>
        <v>Citrus</v>
      </c>
      <c r="B70" s="9">
        <f t="shared" si="16"/>
        <v>0</v>
      </c>
      <c r="C70" s="9">
        <f t="shared" si="14"/>
        <v>0</v>
      </c>
      <c r="D70" s="9">
        <f t="shared" si="14"/>
        <v>0</v>
      </c>
      <c r="E70" s="9">
        <f t="shared" ref="E70" si="23">(D70/D$44)*E$44</f>
        <v>0</v>
      </c>
      <c r="F70" s="9">
        <f t="shared" ref="F70" si="24">(E70/E$44)*F$44</f>
        <v>0</v>
      </c>
      <c r="G70" s="9">
        <f t="shared" ref="G70:H70" si="25">(F70/F$44)*G$44</f>
        <v>0</v>
      </c>
      <c r="H70" s="9">
        <f t="shared" si="25"/>
        <v>0</v>
      </c>
    </row>
    <row r="71" spans="1:8" ht="18" x14ac:dyDescent="0.2">
      <c r="A71" s="512" t="s">
        <v>578</v>
      </c>
      <c r="B71" s="513"/>
      <c r="C71" s="513"/>
      <c r="D71" s="513"/>
      <c r="E71" s="513"/>
      <c r="F71" s="513"/>
      <c r="G71" s="513"/>
      <c r="H71" s="514"/>
    </row>
    <row r="72" spans="1:8" x14ac:dyDescent="0.2">
      <c r="A72" s="515" t="s">
        <v>0</v>
      </c>
      <c r="B72" s="285">
        <v>0.05</v>
      </c>
      <c r="C72" s="285">
        <f>B72+0.05</f>
        <v>0.1</v>
      </c>
      <c r="D72" s="285">
        <f t="shared" ref="D72:G72" si="26">C72+0.05</f>
        <v>0.15000000000000002</v>
      </c>
      <c r="E72" s="285">
        <f t="shared" si="26"/>
        <v>0.2</v>
      </c>
      <c r="F72" s="285">
        <f t="shared" si="26"/>
        <v>0.25</v>
      </c>
      <c r="G72" s="285">
        <f t="shared" si="26"/>
        <v>0.3</v>
      </c>
      <c r="H72" s="285">
        <f>G72+0.05</f>
        <v>0.35</v>
      </c>
    </row>
    <row r="73" spans="1:8" x14ac:dyDescent="0.2">
      <c r="A73" s="516"/>
      <c r="B73" s="275" t="s">
        <v>2</v>
      </c>
      <c r="C73" s="275" t="s">
        <v>3</v>
      </c>
      <c r="D73" s="275" t="s">
        <v>4</v>
      </c>
      <c r="E73" s="275" t="s">
        <v>5</v>
      </c>
      <c r="F73" s="275" t="s">
        <v>6</v>
      </c>
      <c r="G73" s="275" t="s">
        <v>170</v>
      </c>
      <c r="H73" s="275" t="s">
        <v>169</v>
      </c>
    </row>
    <row r="74" spans="1:8" s="12" customFormat="1" x14ac:dyDescent="0.2">
      <c r="A74" s="9" t="str">
        <f t="shared" ref="A74:A98" si="27">A46</f>
        <v>Onion</v>
      </c>
      <c r="B74" s="9">
        <f t="shared" ref="B74:H74" si="28">H14*$B$72</f>
        <v>0</v>
      </c>
      <c r="C74" s="9">
        <f t="shared" si="28"/>
        <v>0</v>
      </c>
      <c r="D74" s="9">
        <f t="shared" si="28"/>
        <v>0</v>
      </c>
      <c r="E74" s="9">
        <f t="shared" si="28"/>
        <v>0</v>
      </c>
      <c r="F74" s="9">
        <f t="shared" si="28"/>
        <v>0</v>
      </c>
      <c r="G74" s="9">
        <f t="shared" si="28"/>
        <v>0</v>
      </c>
      <c r="H74" s="9">
        <f t="shared" si="28"/>
        <v>0</v>
      </c>
    </row>
    <row r="75" spans="1:8" x14ac:dyDescent="0.2">
      <c r="A75" s="9" t="str">
        <f t="shared" si="27"/>
        <v>Tomato</v>
      </c>
      <c r="B75" s="9">
        <f>H15*$B$72*0</f>
        <v>0</v>
      </c>
      <c r="C75" s="9">
        <f>(B75/B72)*C72</f>
        <v>0</v>
      </c>
      <c r="D75" s="9">
        <f t="shared" ref="D75:G75" si="29">(C75/C72)*D72</f>
        <v>0</v>
      </c>
      <c r="E75" s="9">
        <f t="shared" si="29"/>
        <v>0</v>
      </c>
      <c r="F75" s="9">
        <f t="shared" si="29"/>
        <v>0</v>
      </c>
      <c r="G75" s="9">
        <f t="shared" si="29"/>
        <v>0</v>
      </c>
      <c r="H75" s="9">
        <f>(G75/G72)*H72</f>
        <v>0</v>
      </c>
    </row>
    <row r="76" spans="1:8" x14ac:dyDescent="0.2">
      <c r="A76" s="9" t="str">
        <f t="shared" si="27"/>
        <v>Okra</v>
      </c>
      <c r="B76" s="9">
        <f t="shared" ref="B76:B82" si="30">H16*$B$72</f>
        <v>0</v>
      </c>
      <c r="C76" s="9">
        <f>(B76/B72)*C72</f>
        <v>0</v>
      </c>
      <c r="D76" s="9">
        <f>(C76/C72)*D72</f>
        <v>0</v>
      </c>
      <c r="E76" s="9">
        <f t="shared" ref="E76:G76" si="31">(D76/D72)*E72</f>
        <v>0</v>
      </c>
      <c r="F76" s="9">
        <f t="shared" si="31"/>
        <v>0</v>
      </c>
      <c r="G76" s="9">
        <f t="shared" si="31"/>
        <v>0</v>
      </c>
      <c r="H76" s="9">
        <f>(G76/G72)*H72</f>
        <v>0</v>
      </c>
    </row>
    <row r="77" spans="1:8" x14ac:dyDescent="0.2">
      <c r="A77" s="9" t="str">
        <f t="shared" si="27"/>
        <v>Chilli</v>
      </c>
      <c r="B77" s="9">
        <f>H17*$B$72*0</f>
        <v>0</v>
      </c>
      <c r="C77" s="9">
        <f t="shared" ref="C77:H95" si="32">(B77/B$72)*C$72</f>
        <v>0</v>
      </c>
      <c r="D77" s="9">
        <f t="shared" si="32"/>
        <v>0</v>
      </c>
      <c r="E77" s="9">
        <f t="shared" si="32"/>
        <v>0</v>
      </c>
      <c r="F77" s="9">
        <f t="shared" si="32"/>
        <v>0</v>
      </c>
      <c r="G77" s="9">
        <f t="shared" si="32"/>
        <v>0</v>
      </c>
      <c r="H77" s="9">
        <f t="shared" si="32"/>
        <v>0</v>
      </c>
    </row>
    <row r="78" spans="1:8" x14ac:dyDescent="0.2">
      <c r="A78" s="9" t="str">
        <f t="shared" si="27"/>
        <v>Potato</v>
      </c>
      <c r="B78" s="9">
        <f t="shared" si="30"/>
        <v>0</v>
      </c>
      <c r="C78" s="9">
        <f t="shared" si="32"/>
        <v>0</v>
      </c>
      <c r="D78" s="9">
        <f t="shared" si="32"/>
        <v>0</v>
      </c>
      <c r="E78" s="9">
        <f t="shared" si="32"/>
        <v>0</v>
      </c>
      <c r="F78" s="9">
        <f t="shared" si="32"/>
        <v>0</v>
      </c>
      <c r="G78" s="9">
        <f t="shared" si="32"/>
        <v>0</v>
      </c>
      <c r="H78" s="9">
        <f t="shared" si="32"/>
        <v>0</v>
      </c>
    </row>
    <row r="79" spans="1:8" x14ac:dyDescent="0.2">
      <c r="A79" s="9">
        <f t="shared" si="27"/>
        <v>0</v>
      </c>
      <c r="B79" s="9">
        <f>H19*$B$72*0</f>
        <v>0</v>
      </c>
      <c r="C79" s="9">
        <f t="shared" si="32"/>
        <v>0</v>
      </c>
      <c r="D79" s="9">
        <f t="shared" si="32"/>
        <v>0</v>
      </c>
      <c r="E79" s="9">
        <f t="shared" si="32"/>
        <v>0</v>
      </c>
      <c r="F79" s="9">
        <f t="shared" si="32"/>
        <v>0</v>
      </c>
      <c r="G79" s="9">
        <f t="shared" si="32"/>
        <v>0</v>
      </c>
      <c r="H79" s="9">
        <f t="shared" si="32"/>
        <v>0</v>
      </c>
    </row>
    <row r="80" spans="1:8" x14ac:dyDescent="0.2">
      <c r="A80" s="9">
        <f t="shared" si="27"/>
        <v>0</v>
      </c>
      <c r="B80" s="9">
        <f>H20*$B$72*0</f>
        <v>0</v>
      </c>
      <c r="C80" s="9">
        <f t="shared" si="32"/>
        <v>0</v>
      </c>
      <c r="D80" s="9">
        <f t="shared" si="32"/>
        <v>0</v>
      </c>
      <c r="E80" s="9">
        <f t="shared" si="32"/>
        <v>0</v>
      </c>
      <c r="F80" s="9">
        <f t="shared" si="32"/>
        <v>0</v>
      </c>
      <c r="G80" s="9">
        <f t="shared" si="32"/>
        <v>0</v>
      </c>
      <c r="H80" s="9">
        <f t="shared" si="32"/>
        <v>0</v>
      </c>
    </row>
    <row r="81" spans="1:8" x14ac:dyDescent="0.2">
      <c r="A81" s="9">
        <f t="shared" si="27"/>
        <v>0</v>
      </c>
      <c r="B81" s="9">
        <f t="shared" si="30"/>
        <v>0</v>
      </c>
      <c r="C81" s="9">
        <f t="shared" si="32"/>
        <v>0</v>
      </c>
      <c r="D81" s="9">
        <f t="shared" si="32"/>
        <v>0</v>
      </c>
      <c r="E81" s="9">
        <f t="shared" si="32"/>
        <v>0</v>
      </c>
      <c r="F81" s="9">
        <f t="shared" si="32"/>
        <v>0</v>
      </c>
      <c r="G81" s="9">
        <f t="shared" si="32"/>
        <v>0</v>
      </c>
      <c r="H81" s="9">
        <f t="shared" si="32"/>
        <v>0</v>
      </c>
    </row>
    <row r="82" spans="1:8" x14ac:dyDescent="0.2">
      <c r="A82" s="9">
        <f t="shared" si="27"/>
        <v>0</v>
      </c>
      <c r="B82" s="9">
        <f t="shared" si="30"/>
        <v>0</v>
      </c>
      <c r="C82" s="9">
        <f t="shared" si="32"/>
        <v>0</v>
      </c>
      <c r="D82" s="9">
        <f t="shared" si="32"/>
        <v>0</v>
      </c>
      <c r="E82" s="9">
        <f t="shared" si="32"/>
        <v>0</v>
      </c>
      <c r="F82" s="9">
        <f t="shared" si="32"/>
        <v>0</v>
      </c>
      <c r="G82" s="9">
        <f t="shared" si="32"/>
        <v>0</v>
      </c>
      <c r="H82" s="9">
        <f t="shared" si="32"/>
        <v>0</v>
      </c>
    </row>
    <row r="83" spans="1:8" x14ac:dyDescent="0.2">
      <c r="A83" s="9" t="str">
        <f t="shared" si="27"/>
        <v>Onion</v>
      </c>
      <c r="B83" s="9">
        <f t="shared" ref="B83:B90" si="33">H24*$B$72</f>
        <v>0</v>
      </c>
      <c r="C83" s="9">
        <f t="shared" si="32"/>
        <v>0</v>
      </c>
      <c r="D83" s="9">
        <f t="shared" si="32"/>
        <v>0</v>
      </c>
      <c r="E83" s="9">
        <f t="shared" si="32"/>
        <v>0</v>
      </c>
      <c r="F83" s="9">
        <f t="shared" si="32"/>
        <v>0</v>
      </c>
      <c r="G83" s="9">
        <f t="shared" si="32"/>
        <v>0</v>
      </c>
      <c r="H83" s="9">
        <f t="shared" si="32"/>
        <v>0</v>
      </c>
    </row>
    <row r="84" spans="1:8" x14ac:dyDescent="0.2">
      <c r="A84" s="9" t="str">
        <f t="shared" si="27"/>
        <v>Tomato</v>
      </c>
      <c r="B84" s="9">
        <f t="shared" si="33"/>
        <v>0</v>
      </c>
      <c r="C84" s="9">
        <f t="shared" si="32"/>
        <v>0</v>
      </c>
      <c r="D84" s="9">
        <f t="shared" si="32"/>
        <v>0</v>
      </c>
      <c r="E84" s="9">
        <f t="shared" si="32"/>
        <v>0</v>
      </c>
      <c r="F84" s="9">
        <f t="shared" si="32"/>
        <v>0</v>
      </c>
      <c r="G84" s="9">
        <f t="shared" si="32"/>
        <v>0</v>
      </c>
      <c r="H84" s="9">
        <f t="shared" si="32"/>
        <v>0</v>
      </c>
    </row>
    <row r="85" spans="1:8" x14ac:dyDescent="0.2">
      <c r="A85" s="9" t="str">
        <f t="shared" si="27"/>
        <v>Okra</v>
      </c>
      <c r="B85" s="9">
        <f t="shared" si="33"/>
        <v>0</v>
      </c>
      <c r="C85" s="9">
        <f t="shared" si="32"/>
        <v>0</v>
      </c>
      <c r="D85" s="9">
        <f t="shared" si="32"/>
        <v>0</v>
      </c>
      <c r="E85" s="9">
        <f t="shared" si="32"/>
        <v>0</v>
      </c>
      <c r="F85" s="9">
        <f t="shared" si="32"/>
        <v>0</v>
      </c>
      <c r="G85" s="9">
        <f t="shared" si="32"/>
        <v>0</v>
      </c>
      <c r="H85" s="9">
        <f t="shared" si="32"/>
        <v>0</v>
      </c>
    </row>
    <row r="86" spans="1:8" x14ac:dyDescent="0.2">
      <c r="A86" s="9" t="str">
        <f t="shared" si="27"/>
        <v>Chilli</v>
      </c>
      <c r="B86" s="9">
        <f t="shared" si="33"/>
        <v>0</v>
      </c>
      <c r="C86" s="9">
        <f t="shared" si="32"/>
        <v>0</v>
      </c>
      <c r="D86" s="9">
        <f t="shared" si="32"/>
        <v>0</v>
      </c>
      <c r="E86" s="9">
        <f t="shared" si="32"/>
        <v>0</v>
      </c>
      <c r="F86" s="9">
        <f t="shared" si="32"/>
        <v>0</v>
      </c>
      <c r="G86" s="9">
        <f t="shared" si="32"/>
        <v>0</v>
      </c>
      <c r="H86" s="9">
        <f t="shared" si="32"/>
        <v>0</v>
      </c>
    </row>
    <row r="87" spans="1:8" x14ac:dyDescent="0.2">
      <c r="A87" s="9" t="str">
        <f t="shared" si="27"/>
        <v>Brinjal</v>
      </c>
      <c r="B87" s="9">
        <f t="shared" si="33"/>
        <v>0</v>
      </c>
      <c r="C87" s="9">
        <f t="shared" si="32"/>
        <v>0</v>
      </c>
      <c r="D87" s="9">
        <f t="shared" si="32"/>
        <v>0</v>
      </c>
      <c r="E87" s="9">
        <f t="shared" si="32"/>
        <v>0</v>
      </c>
      <c r="F87" s="9">
        <f t="shared" si="32"/>
        <v>0</v>
      </c>
      <c r="G87" s="9">
        <f t="shared" si="32"/>
        <v>0</v>
      </c>
      <c r="H87" s="9">
        <f t="shared" si="32"/>
        <v>0</v>
      </c>
    </row>
    <row r="88" spans="1:8" x14ac:dyDescent="0.2">
      <c r="A88" s="9">
        <f t="shared" si="27"/>
        <v>0</v>
      </c>
      <c r="B88" s="9">
        <f t="shared" si="33"/>
        <v>0</v>
      </c>
      <c r="C88" s="9">
        <f t="shared" si="32"/>
        <v>0</v>
      </c>
      <c r="D88" s="9">
        <f t="shared" si="32"/>
        <v>0</v>
      </c>
      <c r="E88" s="9">
        <f t="shared" si="32"/>
        <v>0</v>
      </c>
      <c r="F88" s="9">
        <f t="shared" si="32"/>
        <v>0</v>
      </c>
      <c r="G88" s="9">
        <f t="shared" si="32"/>
        <v>0</v>
      </c>
      <c r="H88" s="9">
        <f t="shared" si="32"/>
        <v>0</v>
      </c>
    </row>
    <row r="89" spans="1:8" x14ac:dyDescent="0.2">
      <c r="A89" s="9">
        <f t="shared" si="27"/>
        <v>0</v>
      </c>
      <c r="B89" s="9">
        <f t="shared" si="33"/>
        <v>0</v>
      </c>
      <c r="C89" s="9">
        <f t="shared" si="32"/>
        <v>0</v>
      </c>
      <c r="D89" s="9">
        <f t="shared" si="32"/>
        <v>0</v>
      </c>
      <c r="E89" s="9">
        <f t="shared" si="32"/>
        <v>0</v>
      </c>
      <c r="F89" s="9">
        <f t="shared" si="32"/>
        <v>0</v>
      </c>
      <c r="G89" s="9">
        <f t="shared" si="32"/>
        <v>0</v>
      </c>
      <c r="H89" s="9">
        <f t="shared" si="32"/>
        <v>0</v>
      </c>
    </row>
    <row r="90" spans="1:8" x14ac:dyDescent="0.2">
      <c r="A90" s="9">
        <f t="shared" si="27"/>
        <v>0</v>
      </c>
      <c r="B90" s="9">
        <f t="shared" si="33"/>
        <v>0</v>
      </c>
      <c r="C90" s="9">
        <f t="shared" si="32"/>
        <v>0</v>
      </c>
      <c r="D90" s="9">
        <f t="shared" si="32"/>
        <v>0</v>
      </c>
      <c r="E90" s="9">
        <f t="shared" si="32"/>
        <v>0</v>
      </c>
      <c r="F90" s="9">
        <f t="shared" si="32"/>
        <v>0</v>
      </c>
      <c r="G90" s="9">
        <f t="shared" si="32"/>
        <v>0</v>
      </c>
      <c r="H90" s="9">
        <f t="shared" si="32"/>
        <v>0</v>
      </c>
    </row>
    <row r="91" spans="1:8" x14ac:dyDescent="0.2">
      <c r="A91" s="9">
        <f t="shared" si="27"/>
        <v>0</v>
      </c>
      <c r="B91" s="9">
        <f t="shared" ref="B91:B98" si="34">H33*$B$72</f>
        <v>0</v>
      </c>
      <c r="C91" s="9">
        <f t="shared" si="32"/>
        <v>0</v>
      </c>
      <c r="D91" s="9">
        <f t="shared" ref="D91:D94" si="35">(C91/C$72)*D$72</f>
        <v>0</v>
      </c>
      <c r="E91" s="9">
        <f t="shared" ref="E91:E94" si="36">(D91/D$72)*E$72</f>
        <v>0</v>
      </c>
      <c r="F91" s="9">
        <f t="shared" ref="F91:F94" si="37">(E91/E$72)*F$72</f>
        <v>0</v>
      </c>
      <c r="G91" s="9">
        <f t="shared" ref="G91:G94" si="38">(F91/F$72)*G$72</f>
        <v>0</v>
      </c>
      <c r="H91" s="9">
        <f t="shared" si="32"/>
        <v>0</v>
      </c>
    </row>
    <row r="92" spans="1:8" x14ac:dyDescent="0.2">
      <c r="A92" s="9">
        <f t="shared" si="27"/>
        <v>0</v>
      </c>
      <c r="B92" s="9">
        <f t="shared" si="34"/>
        <v>0</v>
      </c>
      <c r="C92" s="9">
        <f t="shared" si="32"/>
        <v>0</v>
      </c>
      <c r="D92" s="9">
        <f t="shared" si="35"/>
        <v>0</v>
      </c>
      <c r="E92" s="9">
        <f t="shared" si="36"/>
        <v>0</v>
      </c>
      <c r="F92" s="9">
        <f t="shared" si="37"/>
        <v>0</v>
      </c>
      <c r="G92" s="9">
        <f t="shared" si="38"/>
        <v>0</v>
      </c>
      <c r="H92" s="9"/>
    </row>
    <row r="93" spans="1:8" x14ac:dyDescent="0.2">
      <c r="A93" s="9">
        <f t="shared" si="27"/>
        <v>0</v>
      </c>
      <c r="B93" s="9">
        <f t="shared" si="34"/>
        <v>0</v>
      </c>
      <c r="C93" s="9">
        <f t="shared" si="32"/>
        <v>0</v>
      </c>
      <c r="D93" s="9">
        <f t="shared" si="35"/>
        <v>0</v>
      </c>
      <c r="E93" s="9">
        <f t="shared" si="36"/>
        <v>0</v>
      </c>
      <c r="F93" s="9">
        <f t="shared" si="37"/>
        <v>0</v>
      </c>
      <c r="G93" s="9">
        <f t="shared" si="38"/>
        <v>0</v>
      </c>
      <c r="H93" s="9"/>
    </row>
    <row r="94" spans="1:8" x14ac:dyDescent="0.2">
      <c r="A94" s="9">
        <f t="shared" si="27"/>
        <v>0</v>
      </c>
      <c r="B94" s="9">
        <f t="shared" si="34"/>
        <v>0</v>
      </c>
      <c r="C94" s="9">
        <f t="shared" si="32"/>
        <v>0</v>
      </c>
      <c r="D94" s="9">
        <f t="shared" si="35"/>
        <v>0</v>
      </c>
      <c r="E94" s="9">
        <f t="shared" si="36"/>
        <v>0</v>
      </c>
      <c r="F94" s="9">
        <f t="shared" si="37"/>
        <v>0</v>
      </c>
      <c r="G94" s="9">
        <f t="shared" si="38"/>
        <v>0</v>
      </c>
      <c r="H94" s="9"/>
    </row>
    <row r="95" spans="1:8" x14ac:dyDescent="0.2">
      <c r="A95" s="9" t="str">
        <f t="shared" si="27"/>
        <v>Pomegranate</v>
      </c>
      <c r="B95" s="9">
        <f t="shared" si="34"/>
        <v>0</v>
      </c>
      <c r="C95" s="9">
        <f t="shared" si="32"/>
        <v>0</v>
      </c>
      <c r="D95" s="9">
        <f t="shared" si="32"/>
        <v>0</v>
      </c>
      <c r="E95" s="9">
        <f t="shared" si="32"/>
        <v>0</v>
      </c>
      <c r="F95" s="9">
        <f t="shared" si="32"/>
        <v>0</v>
      </c>
      <c r="G95" s="9">
        <f t="shared" si="32"/>
        <v>0</v>
      </c>
      <c r="H95" s="9">
        <f t="shared" si="32"/>
        <v>0</v>
      </c>
    </row>
    <row r="96" spans="1:8" x14ac:dyDescent="0.2">
      <c r="A96" s="9" t="str">
        <f t="shared" si="27"/>
        <v>Custard Apple</v>
      </c>
      <c r="B96" s="9">
        <f t="shared" si="34"/>
        <v>0</v>
      </c>
      <c r="C96" s="9">
        <f t="shared" ref="C96:H98" si="39">(B96/B$72)*C$72</f>
        <v>0</v>
      </c>
      <c r="D96" s="9">
        <f t="shared" si="39"/>
        <v>0</v>
      </c>
      <c r="E96" s="9">
        <f t="shared" si="39"/>
        <v>0</v>
      </c>
      <c r="F96" s="9">
        <f t="shared" si="39"/>
        <v>0</v>
      </c>
      <c r="G96" s="9">
        <f t="shared" si="39"/>
        <v>0</v>
      </c>
      <c r="H96" s="9">
        <f t="shared" si="39"/>
        <v>0</v>
      </c>
    </row>
    <row r="97" spans="1:9" x14ac:dyDescent="0.2">
      <c r="A97" s="9" t="str">
        <f t="shared" si="27"/>
        <v>Guava</v>
      </c>
      <c r="B97" s="9">
        <f t="shared" si="34"/>
        <v>0</v>
      </c>
      <c r="C97" s="9">
        <f t="shared" si="39"/>
        <v>0</v>
      </c>
      <c r="D97" s="9">
        <f t="shared" si="39"/>
        <v>0</v>
      </c>
      <c r="E97" s="9">
        <f t="shared" si="39"/>
        <v>0</v>
      </c>
      <c r="F97" s="9">
        <f t="shared" si="39"/>
        <v>0</v>
      </c>
      <c r="G97" s="9">
        <f t="shared" si="39"/>
        <v>0</v>
      </c>
      <c r="H97" s="9">
        <f t="shared" si="39"/>
        <v>0</v>
      </c>
    </row>
    <row r="98" spans="1:9" x14ac:dyDescent="0.2">
      <c r="A98" s="9" t="str">
        <f t="shared" si="27"/>
        <v>Citrus</v>
      </c>
      <c r="B98" s="9">
        <f t="shared" si="34"/>
        <v>0</v>
      </c>
      <c r="C98" s="9">
        <f t="shared" si="39"/>
        <v>0</v>
      </c>
      <c r="D98" s="9">
        <f t="shared" ref="D98" si="40">(C98/C$72)*D$72</f>
        <v>0</v>
      </c>
      <c r="E98" s="9">
        <f t="shared" ref="E98" si="41">(D98/D$72)*E$72</f>
        <v>0</v>
      </c>
      <c r="F98" s="9">
        <f t="shared" ref="F98" si="42">(E98/E$72)*F$72</f>
        <v>0</v>
      </c>
      <c r="G98" s="9">
        <f t="shared" ref="G98" si="43">(F98/F$72)*G$72</f>
        <v>0</v>
      </c>
      <c r="H98" s="9">
        <f t="shared" ref="H98" si="44">(G98/G$72)*H$72</f>
        <v>0</v>
      </c>
      <c r="I98" s="264"/>
    </row>
    <row r="99" spans="1:9" ht="18" x14ac:dyDescent="0.2">
      <c r="A99" s="512" t="s">
        <v>579</v>
      </c>
      <c r="B99" s="513"/>
      <c r="C99" s="513"/>
      <c r="D99" s="513"/>
      <c r="E99" s="513"/>
      <c r="F99" s="513"/>
      <c r="G99" s="513"/>
      <c r="H99" s="514"/>
    </row>
    <row r="100" spans="1:9" x14ac:dyDescent="0.2">
      <c r="A100" s="501" t="s">
        <v>0</v>
      </c>
      <c r="B100" s="308">
        <v>0.65</v>
      </c>
      <c r="C100" s="309">
        <f>B100+0.05</f>
        <v>0.70000000000000007</v>
      </c>
      <c r="D100" s="309">
        <f t="shared" ref="D100:G100" si="45">C100+0.05</f>
        <v>0.75000000000000011</v>
      </c>
      <c r="E100" s="309">
        <f t="shared" si="45"/>
        <v>0.80000000000000016</v>
      </c>
      <c r="F100" s="309">
        <f t="shared" si="45"/>
        <v>0.8500000000000002</v>
      </c>
      <c r="G100" s="309">
        <f t="shared" si="45"/>
        <v>0.90000000000000024</v>
      </c>
      <c r="H100" s="309">
        <f>G100+0.05</f>
        <v>0.95000000000000029</v>
      </c>
    </row>
    <row r="101" spans="1:9" x14ac:dyDescent="0.2">
      <c r="A101" s="502"/>
      <c r="B101" s="275" t="s">
        <v>2</v>
      </c>
      <c r="C101" s="275" t="s">
        <v>3</v>
      </c>
      <c r="D101" s="275" t="s">
        <v>4</v>
      </c>
      <c r="E101" s="275" t="s">
        <v>5</v>
      </c>
      <c r="F101" s="275" t="s">
        <v>6</v>
      </c>
      <c r="G101" s="275" t="s">
        <v>170</v>
      </c>
      <c r="H101" s="275" t="s">
        <v>169</v>
      </c>
    </row>
    <row r="102" spans="1:9" s="12" customFormat="1" x14ac:dyDescent="0.2">
      <c r="A102" s="9" t="str">
        <f t="shared" ref="A102:A126" si="46">A74</f>
        <v>Onion</v>
      </c>
      <c r="B102" s="9">
        <f t="shared" ref="B102:B110" si="47">D14*$B$100</f>
        <v>0</v>
      </c>
      <c r="C102" s="272">
        <f t="shared" ref="C102:H117" si="48">(B102/B$100)*C$100</f>
        <v>0</v>
      </c>
      <c r="D102" s="272">
        <f t="shared" si="48"/>
        <v>0</v>
      </c>
      <c r="E102" s="272">
        <f t="shared" si="48"/>
        <v>0</v>
      </c>
      <c r="F102" s="272">
        <f t="shared" si="48"/>
        <v>0</v>
      </c>
      <c r="G102" s="272">
        <f t="shared" si="48"/>
        <v>0</v>
      </c>
      <c r="H102" s="272">
        <f t="shared" si="48"/>
        <v>0</v>
      </c>
    </row>
    <row r="103" spans="1:9" x14ac:dyDescent="0.2">
      <c r="A103" s="9" t="str">
        <f t="shared" si="46"/>
        <v>Tomato</v>
      </c>
      <c r="B103" s="9">
        <f t="shared" si="47"/>
        <v>0</v>
      </c>
      <c r="C103" s="272">
        <f t="shared" si="48"/>
        <v>0</v>
      </c>
      <c r="D103" s="272">
        <f>(C103/C100)*D100</f>
        <v>0</v>
      </c>
      <c r="E103" s="272">
        <f t="shared" ref="E103:G103" si="49">(D103/D100)*E100</f>
        <v>0</v>
      </c>
      <c r="F103" s="272">
        <f t="shared" si="49"/>
        <v>0</v>
      </c>
      <c r="G103" s="272">
        <f t="shared" si="49"/>
        <v>0</v>
      </c>
      <c r="H103" s="272">
        <f>(G103/G100)*H100</f>
        <v>0</v>
      </c>
    </row>
    <row r="104" spans="1:9" x14ac:dyDescent="0.2">
      <c r="A104" s="9" t="str">
        <f t="shared" si="46"/>
        <v>Okra</v>
      </c>
      <c r="B104" s="9">
        <f t="shared" si="47"/>
        <v>0</v>
      </c>
      <c r="C104" s="272">
        <f t="shared" si="48"/>
        <v>0</v>
      </c>
      <c r="D104" s="272">
        <f t="shared" si="48"/>
        <v>0</v>
      </c>
      <c r="E104" s="272">
        <f t="shared" si="48"/>
        <v>0</v>
      </c>
      <c r="F104" s="272">
        <f t="shared" si="48"/>
        <v>0</v>
      </c>
      <c r="G104" s="272">
        <f t="shared" si="48"/>
        <v>0</v>
      </c>
      <c r="H104" s="272">
        <f t="shared" si="48"/>
        <v>0</v>
      </c>
    </row>
    <row r="105" spans="1:9" x14ac:dyDescent="0.2">
      <c r="A105" s="9" t="str">
        <f t="shared" si="46"/>
        <v>Chilli</v>
      </c>
      <c r="B105" s="9">
        <f t="shared" si="47"/>
        <v>0</v>
      </c>
      <c r="C105" s="272">
        <f t="shared" si="48"/>
        <v>0</v>
      </c>
      <c r="D105" s="272">
        <f t="shared" si="48"/>
        <v>0</v>
      </c>
      <c r="E105" s="272">
        <f t="shared" si="48"/>
        <v>0</v>
      </c>
      <c r="F105" s="272">
        <f t="shared" si="48"/>
        <v>0</v>
      </c>
      <c r="G105" s="272">
        <f t="shared" si="48"/>
        <v>0</v>
      </c>
      <c r="H105" s="272">
        <f t="shared" si="48"/>
        <v>0</v>
      </c>
    </row>
    <row r="106" spans="1:9" x14ac:dyDescent="0.2">
      <c r="A106" s="9" t="str">
        <f t="shared" si="46"/>
        <v>Potato</v>
      </c>
      <c r="B106" s="345">
        <f t="shared" si="47"/>
        <v>0</v>
      </c>
      <c r="C106" s="272">
        <f t="shared" si="48"/>
        <v>0</v>
      </c>
      <c r="D106" s="272">
        <f t="shared" si="48"/>
        <v>0</v>
      </c>
      <c r="E106" s="272">
        <f t="shared" si="48"/>
        <v>0</v>
      </c>
      <c r="F106" s="272">
        <f t="shared" si="48"/>
        <v>0</v>
      </c>
      <c r="G106" s="272">
        <f t="shared" si="48"/>
        <v>0</v>
      </c>
      <c r="H106" s="272">
        <f t="shared" si="48"/>
        <v>0</v>
      </c>
    </row>
    <row r="107" spans="1:9" x14ac:dyDescent="0.2">
      <c r="A107" s="9">
        <f t="shared" si="46"/>
        <v>0</v>
      </c>
      <c r="B107" s="9">
        <f t="shared" si="47"/>
        <v>0</v>
      </c>
      <c r="C107" s="272">
        <f t="shared" si="48"/>
        <v>0</v>
      </c>
      <c r="D107" s="272">
        <f t="shared" si="48"/>
        <v>0</v>
      </c>
      <c r="E107" s="272">
        <f t="shared" si="48"/>
        <v>0</v>
      </c>
      <c r="F107" s="272">
        <f t="shared" si="48"/>
        <v>0</v>
      </c>
      <c r="G107" s="272">
        <f t="shared" si="48"/>
        <v>0</v>
      </c>
      <c r="H107" s="272">
        <f t="shared" si="48"/>
        <v>0</v>
      </c>
    </row>
    <row r="108" spans="1:9" x14ac:dyDescent="0.2">
      <c r="A108" s="9">
        <f t="shared" si="46"/>
        <v>0</v>
      </c>
      <c r="B108" s="9">
        <f t="shared" si="47"/>
        <v>0</v>
      </c>
      <c r="C108" s="272">
        <f t="shared" si="48"/>
        <v>0</v>
      </c>
      <c r="D108" s="272">
        <f t="shared" si="48"/>
        <v>0</v>
      </c>
      <c r="E108" s="272">
        <f t="shared" si="48"/>
        <v>0</v>
      </c>
      <c r="F108" s="272">
        <f t="shared" si="48"/>
        <v>0</v>
      </c>
      <c r="G108" s="272">
        <f t="shared" si="48"/>
        <v>0</v>
      </c>
      <c r="H108" s="272">
        <f t="shared" si="48"/>
        <v>0</v>
      </c>
    </row>
    <row r="109" spans="1:9" x14ac:dyDescent="0.2">
      <c r="A109" s="9">
        <f t="shared" si="46"/>
        <v>0</v>
      </c>
      <c r="B109" s="9">
        <f t="shared" si="47"/>
        <v>0</v>
      </c>
      <c r="C109" s="272">
        <f t="shared" si="48"/>
        <v>0</v>
      </c>
      <c r="D109" s="272">
        <f t="shared" si="48"/>
        <v>0</v>
      </c>
      <c r="E109" s="272">
        <f t="shared" si="48"/>
        <v>0</v>
      </c>
      <c r="F109" s="272">
        <f t="shared" si="48"/>
        <v>0</v>
      </c>
      <c r="G109" s="272">
        <f t="shared" si="48"/>
        <v>0</v>
      </c>
      <c r="H109" s="272">
        <f t="shared" si="48"/>
        <v>0</v>
      </c>
    </row>
    <row r="110" spans="1:9" x14ac:dyDescent="0.2">
      <c r="A110" s="9">
        <f t="shared" si="46"/>
        <v>0</v>
      </c>
      <c r="B110" s="9">
        <f t="shared" si="47"/>
        <v>0</v>
      </c>
      <c r="C110" s="272">
        <f t="shared" si="48"/>
        <v>0</v>
      </c>
      <c r="D110" s="272">
        <f t="shared" si="48"/>
        <v>0</v>
      </c>
      <c r="E110" s="272">
        <f t="shared" si="48"/>
        <v>0</v>
      </c>
      <c r="F110" s="272">
        <f t="shared" si="48"/>
        <v>0</v>
      </c>
      <c r="G110" s="272">
        <f t="shared" si="48"/>
        <v>0</v>
      </c>
      <c r="H110" s="272">
        <f t="shared" si="48"/>
        <v>0</v>
      </c>
    </row>
    <row r="111" spans="1:9" x14ac:dyDescent="0.2">
      <c r="A111" s="9" t="str">
        <f t="shared" si="46"/>
        <v>Onion</v>
      </c>
      <c r="B111" s="9">
        <f t="shared" ref="B111:B118" si="50">D24*$B$100</f>
        <v>0</v>
      </c>
      <c r="C111" s="272">
        <f t="shared" si="48"/>
        <v>0</v>
      </c>
      <c r="D111" s="272">
        <f t="shared" si="48"/>
        <v>0</v>
      </c>
      <c r="E111" s="272">
        <f t="shared" si="48"/>
        <v>0</v>
      </c>
      <c r="F111" s="272">
        <f t="shared" si="48"/>
        <v>0</v>
      </c>
      <c r="G111" s="272">
        <f t="shared" si="48"/>
        <v>0</v>
      </c>
      <c r="H111" s="272">
        <f t="shared" si="48"/>
        <v>0</v>
      </c>
    </row>
    <row r="112" spans="1:9" x14ac:dyDescent="0.2">
      <c r="A112" s="9" t="str">
        <f t="shared" si="46"/>
        <v>Tomato</v>
      </c>
      <c r="B112" s="9">
        <f t="shared" si="50"/>
        <v>0</v>
      </c>
      <c r="C112" s="272">
        <f t="shared" si="48"/>
        <v>0</v>
      </c>
      <c r="D112" s="272">
        <f t="shared" si="48"/>
        <v>0</v>
      </c>
      <c r="E112" s="272">
        <f t="shared" si="48"/>
        <v>0</v>
      </c>
      <c r="F112" s="272">
        <f t="shared" si="48"/>
        <v>0</v>
      </c>
      <c r="G112" s="272">
        <f t="shared" si="48"/>
        <v>0</v>
      </c>
      <c r="H112" s="272">
        <f t="shared" si="48"/>
        <v>0</v>
      </c>
    </row>
    <row r="113" spans="1:9" x14ac:dyDescent="0.2">
      <c r="A113" s="9" t="str">
        <f t="shared" si="46"/>
        <v>Okra</v>
      </c>
      <c r="B113" s="9">
        <f t="shared" si="50"/>
        <v>0</v>
      </c>
      <c r="C113" s="272">
        <f t="shared" si="48"/>
        <v>0</v>
      </c>
      <c r="D113" s="272">
        <f t="shared" si="48"/>
        <v>0</v>
      </c>
      <c r="E113" s="272">
        <f t="shared" si="48"/>
        <v>0</v>
      </c>
      <c r="F113" s="272">
        <f t="shared" si="48"/>
        <v>0</v>
      </c>
      <c r="G113" s="272">
        <f t="shared" si="48"/>
        <v>0</v>
      </c>
      <c r="H113" s="272">
        <f t="shared" si="48"/>
        <v>0</v>
      </c>
    </row>
    <row r="114" spans="1:9" x14ac:dyDescent="0.2">
      <c r="A114" s="9" t="str">
        <f t="shared" si="46"/>
        <v>Chilli</v>
      </c>
      <c r="B114" s="9">
        <f t="shared" si="50"/>
        <v>0</v>
      </c>
      <c r="C114" s="272">
        <f t="shared" si="48"/>
        <v>0</v>
      </c>
      <c r="D114" s="272">
        <f t="shared" si="48"/>
        <v>0</v>
      </c>
      <c r="E114" s="272">
        <f t="shared" si="48"/>
        <v>0</v>
      </c>
      <c r="F114" s="272">
        <f t="shared" si="48"/>
        <v>0</v>
      </c>
      <c r="G114" s="272">
        <f t="shared" si="48"/>
        <v>0</v>
      </c>
      <c r="H114" s="272">
        <f t="shared" si="48"/>
        <v>0</v>
      </c>
    </row>
    <row r="115" spans="1:9" x14ac:dyDescent="0.2">
      <c r="A115" s="9" t="str">
        <f t="shared" si="46"/>
        <v>Brinjal</v>
      </c>
      <c r="B115" s="9">
        <f t="shared" si="50"/>
        <v>0</v>
      </c>
      <c r="C115" s="272">
        <f t="shared" si="48"/>
        <v>0</v>
      </c>
      <c r="D115" s="272">
        <f t="shared" si="48"/>
        <v>0</v>
      </c>
      <c r="E115" s="272">
        <f t="shared" si="48"/>
        <v>0</v>
      </c>
      <c r="F115" s="272">
        <f t="shared" si="48"/>
        <v>0</v>
      </c>
      <c r="G115" s="272">
        <f t="shared" si="48"/>
        <v>0</v>
      </c>
      <c r="H115" s="272">
        <f t="shared" si="48"/>
        <v>0</v>
      </c>
    </row>
    <row r="116" spans="1:9" x14ac:dyDescent="0.2">
      <c r="A116" s="9">
        <f t="shared" si="46"/>
        <v>0</v>
      </c>
      <c r="B116" s="9">
        <f t="shared" si="50"/>
        <v>0</v>
      </c>
      <c r="C116" s="272">
        <f t="shared" si="48"/>
        <v>0</v>
      </c>
      <c r="D116" s="272">
        <f t="shared" si="48"/>
        <v>0</v>
      </c>
      <c r="E116" s="272">
        <f t="shared" si="48"/>
        <v>0</v>
      </c>
      <c r="F116" s="272">
        <f t="shared" si="48"/>
        <v>0</v>
      </c>
      <c r="G116" s="272">
        <f t="shared" si="48"/>
        <v>0</v>
      </c>
      <c r="H116" s="272">
        <f t="shared" si="48"/>
        <v>0</v>
      </c>
    </row>
    <row r="117" spans="1:9" x14ac:dyDescent="0.2">
      <c r="A117" s="9">
        <f t="shared" si="46"/>
        <v>0</v>
      </c>
      <c r="B117" s="9">
        <f t="shared" si="50"/>
        <v>0</v>
      </c>
      <c r="C117" s="272">
        <f t="shared" si="48"/>
        <v>0</v>
      </c>
      <c r="D117" s="272">
        <f t="shared" si="48"/>
        <v>0</v>
      </c>
      <c r="E117" s="272">
        <f t="shared" si="48"/>
        <v>0</v>
      </c>
      <c r="F117" s="272">
        <f t="shared" si="48"/>
        <v>0</v>
      </c>
      <c r="G117" s="272">
        <f t="shared" si="48"/>
        <v>0</v>
      </c>
      <c r="H117" s="272">
        <f t="shared" si="48"/>
        <v>0</v>
      </c>
    </row>
    <row r="118" spans="1:9" x14ac:dyDescent="0.2">
      <c r="A118" s="9">
        <f t="shared" si="46"/>
        <v>0</v>
      </c>
      <c r="B118" s="9">
        <f t="shared" si="50"/>
        <v>0</v>
      </c>
      <c r="C118" s="272">
        <f t="shared" ref="C118:H126" si="51">(B118/B$100)*C$100</f>
        <v>0</v>
      </c>
      <c r="D118" s="272">
        <f t="shared" si="51"/>
        <v>0</v>
      </c>
      <c r="E118" s="272">
        <f t="shared" si="51"/>
        <v>0</v>
      </c>
      <c r="F118" s="272">
        <f t="shared" si="51"/>
        <v>0</v>
      </c>
      <c r="G118" s="272">
        <f t="shared" si="51"/>
        <v>0</v>
      </c>
      <c r="H118" s="272">
        <f t="shared" si="51"/>
        <v>0</v>
      </c>
    </row>
    <row r="119" spans="1:9" x14ac:dyDescent="0.2">
      <c r="A119" s="9">
        <f t="shared" si="46"/>
        <v>0</v>
      </c>
      <c r="B119" s="9">
        <f t="shared" ref="B119:B126" si="52">D33*$B$100</f>
        <v>0</v>
      </c>
      <c r="C119" s="272">
        <f t="shared" si="51"/>
        <v>0</v>
      </c>
      <c r="D119" s="272">
        <f t="shared" si="51"/>
        <v>0</v>
      </c>
      <c r="E119" s="272">
        <f t="shared" si="51"/>
        <v>0</v>
      </c>
      <c r="F119" s="272">
        <f t="shared" si="51"/>
        <v>0</v>
      </c>
      <c r="G119" s="272">
        <f t="shared" si="51"/>
        <v>0</v>
      </c>
      <c r="H119" s="272">
        <f t="shared" si="51"/>
        <v>0</v>
      </c>
    </row>
    <row r="120" spans="1:9" x14ac:dyDescent="0.2">
      <c r="A120" s="9">
        <f t="shared" si="46"/>
        <v>0</v>
      </c>
      <c r="B120" s="9">
        <f t="shared" si="52"/>
        <v>0</v>
      </c>
      <c r="C120" s="272">
        <f t="shared" si="51"/>
        <v>0</v>
      </c>
      <c r="D120" s="272">
        <f t="shared" ref="D120:D122" si="53">(C120/C$100)*D$100</f>
        <v>0</v>
      </c>
      <c r="E120" s="272">
        <f t="shared" ref="E120:E122" si="54">(D120/D$100)*E$100</f>
        <v>0</v>
      </c>
      <c r="F120" s="272">
        <f t="shared" ref="F120:F122" si="55">(E120/E$100)*F$100</f>
        <v>0</v>
      </c>
      <c r="G120" s="272">
        <f t="shared" ref="G120:G122" si="56">(F120/F$100)*G$100</f>
        <v>0</v>
      </c>
      <c r="H120" s="272">
        <f t="shared" si="51"/>
        <v>0</v>
      </c>
    </row>
    <row r="121" spans="1:9" x14ac:dyDescent="0.2">
      <c r="A121" s="9">
        <f t="shared" si="46"/>
        <v>0</v>
      </c>
      <c r="B121" s="9">
        <f t="shared" si="52"/>
        <v>0</v>
      </c>
      <c r="C121" s="272">
        <f t="shared" si="51"/>
        <v>0</v>
      </c>
      <c r="D121" s="272">
        <f t="shared" si="53"/>
        <v>0</v>
      </c>
      <c r="E121" s="272">
        <f t="shared" si="54"/>
        <v>0</v>
      </c>
      <c r="F121" s="272">
        <f t="shared" si="55"/>
        <v>0</v>
      </c>
      <c r="G121" s="272">
        <f t="shared" si="56"/>
        <v>0</v>
      </c>
      <c r="H121" s="272">
        <f t="shared" si="51"/>
        <v>0</v>
      </c>
    </row>
    <row r="122" spans="1:9" x14ac:dyDescent="0.2">
      <c r="A122" s="9">
        <f t="shared" si="46"/>
        <v>0</v>
      </c>
      <c r="B122" s="9">
        <f t="shared" si="52"/>
        <v>0</v>
      </c>
      <c r="C122" s="272">
        <f t="shared" si="51"/>
        <v>0</v>
      </c>
      <c r="D122" s="272">
        <f t="shared" si="53"/>
        <v>0</v>
      </c>
      <c r="E122" s="272">
        <f t="shared" si="54"/>
        <v>0</v>
      </c>
      <c r="F122" s="272">
        <f t="shared" si="55"/>
        <v>0</v>
      </c>
      <c r="G122" s="272">
        <f t="shared" si="56"/>
        <v>0</v>
      </c>
      <c r="H122" s="272">
        <f t="shared" si="51"/>
        <v>0</v>
      </c>
    </row>
    <row r="123" spans="1:9" x14ac:dyDescent="0.2">
      <c r="A123" s="9" t="str">
        <f t="shared" si="46"/>
        <v>Pomegranate</v>
      </c>
      <c r="B123" s="9">
        <f t="shared" si="52"/>
        <v>0</v>
      </c>
      <c r="C123" s="272">
        <f t="shared" si="51"/>
        <v>0</v>
      </c>
      <c r="D123" s="272">
        <f t="shared" si="51"/>
        <v>0</v>
      </c>
      <c r="E123" s="272">
        <f t="shared" si="51"/>
        <v>0</v>
      </c>
      <c r="F123" s="272">
        <f t="shared" si="51"/>
        <v>0</v>
      </c>
      <c r="G123" s="272">
        <f t="shared" si="51"/>
        <v>0</v>
      </c>
      <c r="H123" s="272">
        <f t="shared" si="51"/>
        <v>0</v>
      </c>
    </row>
    <row r="124" spans="1:9" x14ac:dyDescent="0.2">
      <c r="A124" s="9" t="str">
        <f t="shared" si="46"/>
        <v>Custard Apple</v>
      </c>
      <c r="B124" s="9">
        <f t="shared" si="52"/>
        <v>0</v>
      </c>
      <c r="C124" s="272">
        <f t="shared" si="51"/>
        <v>0</v>
      </c>
      <c r="D124" s="272">
        <f t="shared" ref="D124" si="57">(C124/C$100)*D$100</f>
        <v>0</v>
      </c>
      <c r="E124" s="272">
        <f t="shared" ref="E124" si="58">(D124/D$100)*E$100</f>
        <v>0</v>
      </c>
      <c r="F124" s="272">
        <f t="shared" ref="F124" si="59">(E124/E$100)*F$100</f>
        <v>0</v>
      </c>
      <c r="G124" s="272">
        <f t="shared" ref="G124" si="60">(F124/F$100)*G$100</f>
        <v>0</v>
      </c>
      <c r="H124" s="272">
        <f t="shared" si="51"/>
        <v>0</v>
      </c>
    </row>
    <row r="125" spans="1:9" x14ac:dyDescent="0.2">
      <c r="A125" s="9" t="str">
        <f t="shared" si="46"/>
        <v>Guava</v>
      </c>
      <c r="B125" s="9">
        <f t="shared" si="52"/>
        <v>0</v>
      </c>
      <c r="C125" s="272">
        <f t="shared" si="51"/>
        <v>0</v>
      </c>
      <c r="D125" s="272">
        <f t="shared" si="51"/>
        <v>0</v>
      </c>
      <c r="E125" s="272">
        <f t="shared" si="51"/>
        <v>0</v>
      </c>
      <c r="F125" s="272">
        <f t="shared" si="51"/>
        <v>0</v>
      </c>
      <c r="G125" s="272">
        <f t="shared" si="51"/>
        <v>0</v>
      </c>
      <c r="H125" s="272">
        <f t="shared" si="51"/>
        <v>0</v>
      </c>
    </row>
    <row r="126" spans="1:9" x14ac:dyDescent="0.2">
      <c r="A126" s="9" t="str">
        <f t="shared" si="46"/>
        <v>Citrus</v>
      </c>
      <c r="B126" s="9">
        <f t="shared" si="52"/>
        <v>0</v>
      </c>
      <c r="C126" s="272">
        <f t="shared" si="51"/>
        <v>0</v>
      </c>
      <c r="D126" s="272">
        <f t="shared" si="51"/>
        <v>0</v>
      </c>
      <c r="E126" s="272">
        <f t="shared" si="51"/>
        <v>0</v>
      </c>
      <c r="F126" s="272">
        <f t="shared" si="51"/>
        <v>0</v>
      </c>
      <c r="G126" s="272">
        <f t="shared" si="51"/>
        <v>0</v>
      </c>
      <c r="H126" s="272">
        <f t="shared" si="51"/>
        <v>0</v>
      </c>
    </row>
    <row r="128" spans="1:9" x14ac:dyDescent="0.2">
      <c r="C128" s="3"/>
      <c r="D128" s="5"/>
      <c r="E128" s="5"/>
      <c r="F128" s="5"/>
      <c r="G128" s="5"/>
      <c r="H128" s="5"/>
      <c r="I128" s="5"/>
    </row>
    <row r="129" spans="1:9" x14ac:dyDescent="0.2">
      <c r="A129" t="s">
        <v>543</v>
      </c>
      <c r="C129" s="282"/>
      <c r="D129" s="282"/>
      <c r="E129" s="282"/>
      <c r="F129" s="282"/>
      <c r="G129" s="282"/>
      <c r="H129" s="282"/>
      <c r="I129" s="282"/>
    </row>
    <row r="130" spans="1:9" x14ac:dyDescent="0.2">
      <c r="A130">
        <v>1</v>
      </c>
      <c r="B130" t="s">
        <v>544</v>
      </c>
    </row>
    <row r="131" spans="1:9" x14ac:dyDescent="0.2">
      <c r="A131">
        <v>2</v>
      </c>
      <c r="B131" t="s">
        <v>545</v>
      </c>
    </row>
    <row r="132" spans="1:9" x14ac:dyDescent="0.2">
      <c r="A132">
        <v>3</v>
      </c>
      <c r="B132" t="s">
        <v>546</v>
      </c>
    </row>
  </sheetData>
  <mergeCells count="13">
    <mergeCell ref="A99:H99"/>
    <mergeCell ref="A100:A101"/>
    <mergeCell ref="A3:B3"/>
    <mergeCell ref="A11:H11"/>
    <mergeCell ref="A14:A22"/>
    <mergeCell ref="A24:A31"/>
    <mergeCell ref="A37:A40"/>
    <mergeCell ref="A41:H41"/>
    <mergeCell ref="A1:H1"/>
    <mergeCell ref="A43:H43"/>
    <mergeCell ref="A44:A45"/>
    <mergeCell ref="A71:H71"/>
    <mergeCell ref="A72:A73"/>
  </mergeCells>
  <pageMargins left="0.7" right="0.7" top="0.75" bottom="0.75" header="0.3" footer="0.3"/>
  <pageSetup scale="54" orientation="portrait" r:id="rId1"/>
  <rowBreaks count="1" manualBreakCount="1">
    <brk id="70" max="7" man="1"/>
  </rowBreaks>
  <colBreaks count="1" manualBreakCount="1">
    <brk id="8" max="126"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2:T313"/>
  <sheetViews>
    <sheetView view="pageBreakPreview" topLeftCell="A266" zoomScale="80" zoomScaleSheetLayoutView="80" workbookViewId="0">
      <selection activeCell="I29" sqref="I29"/>
    </sheetView>
  </sheetViews>
  <sheetFormatPr defaultRowHeight="15" x14ac:dyDescent="0.2"/>
  <cols>
    <col min="1" max="1" width="42.375" bestFit="1" customWidth="1"/>
    <col min="2" max="2" width="23.40625" customWidth="1"/>
    <col min="3" max="3" width="11.8359375" customWidth="1"/>
    <col min="4" max="5" width="15.87109375" bestFit="1" customWidth="1"/>
    <col min="6" max="6" width="18.16015625" bestFit="1" customWidth="1"/>
    <col min="7" max="10" width="15.87109375" bestFit="1" customWidth="1"/>
    <col min="11" max="11" width="10.625" bestFit="1" customWidth="1"/>
    <col min="13" max="13" width="22.8671875" bestFit="1" customWidth="1"/>
    <col min="14" max="14" width="12.9140625" bestFit="1" customWidth="1"/>
  </cols>
  <sheetData>
    <row r="2" spans="1:8" ht="18" x14ac:dyDescent="0.2">
      <c r="A2" s="451" t="s">
        <v>580</v>
      </c>
      <c r="B2" s="451"/>
      <c r="C2" s="451"/>
      <c r="D2" s="451"/>
      <c r="E2" s="451"/>
      <c r="F2" s="451"/>
      <c r="G2" s="451"/>
      <c r="H2" s="451"/>
    </row>
    <row r="3" spans="1:8" ht="18" x14ac:dyDescent="0.2">
      <c r="A3" s="451" t="s">
        <v>581</v>
      </c>
      <c r="B3" s="451"/>
      <c r="C3" s="451"/>
      <c r="D3" s="451"/>
      <c r="E3" s="451"/>
      <c r="F3" s="451"/>
      <c r="G3" s="451"/>
      <c r="H3" s="451"/>
    </row>
    <row r="4" spans="1:8" x14ac:dyDescent="0.2">
      <c r="B4" s="402"/>
      <c r="C4" s="89"/>
      <c r="D4" s="89"/>
      <c r="E4" s="89"/>
      <c r="F4" s="452" t="s">
        <v>474</v>
      </c>
      <c r="G4" s="452"/>
      <c r="H4" s="452"/>
    </row>
    <row r="5" spans="1:8" x14ac:dyDescent="0.2">
      <c r="A5" s="89" t="s">
        <v>162</v>
      </c>
      <c r="B5" s="402">
        <v>6</v>
      </c>
      <c r="C5" s="89" t="s">
        <v>736</v>
      </c>
      <c r="D5" s="89"/>
      <c r="E5" s="89"/>
      <c r="F5" s="258" t="s">
        <v>475</v>
      </c>
      <c r="G5" s="258" t="s">
        <v>476</v>
      </c>
      <c r="H5" s="89"/>
    </row>
    <row r="6" spans="1:8" x14ac:dyDescent="0.2">
      <c r="A6" s="89" t="s">
        <v>163</v>
      </c>
      <c r="B6" s="402">
        <v>12</v>
      </c>
      <c r="C6" s="89"/>
      <c r="D6" s="89"/>
      <c r="E6" s="89"/>
      <c r="F6" s="9" t="s">
        <v>472</v>
      </c>
      <c r="G6" s="290">
        <v>0.02</v>
      </c>
      <c r="H6" s="89"/>
    </row>
    <row r="7" spans="1:8" x14ac:dyDescent="0.2">
      <c r="A7" s="89"/>
      <c r="B7" s="89"/>
      <c r="C7" s="89"/>
      <c r="D7" s="89"/>
      <c r="E7" s="89"/>
      <c r="F7" s="9" t="s">
        <v>473</v>
      </c>
      <c r="G7" s="290">
        <v>0.05</v>
      </c>
      <c r="H7" s="89"/>
    </row>
    <row r="8" spans="1:8" x14ac:dyDescent="0.2">
      <c r="A8" s="89" t="s">
        <v>521</v>
      </c>
      <c r="B8" s="89">
        <v>210</v>
      </c>
      <c r="C8" s="89"/>
      <c r="D8" s="89"/>
      <c r="E8" s="89"/>
      <c r="F8" s="9"/>
      <c r="G8" s="290"/>
      <c r="H8" s="89"/>
    </row>
    <row r="9" spans="1:8" x14ac:dyDescent="0.2">
      <c r="A9" s="143" t="s">
        <v>0</v>
      </c>
      <c r="B9" s="115" t="s">
        <v>2</v>
      </c>
      <c r="C9" s="115" t="s">
        <v>3</v>
      </c>
      <c r="D9" s="115" t="s">
        <v>4</v>
      </c>
      <c r="E9" s="115" t="s">
        <v>5</v>
      </c>
      <c r="F9" s="115" t="s">
        <v>6</v>
      </c>
      <c r="G9" s="115" t="s">
        <v>170</v>
      </c>
      <c r="H9" s="115" t="s">
        <v>169</v>
      </c>
    </row>
    <row r="10" spans="1:8" x14ac:dyDescent="0.2">
      <c r="A10" s="90" t="s">
        <v>721</v>
      </c>
      <c r="B10" s="267">
        <f>ROUNDUP(B33/($B$5*$B$6),0)</f>
        <v>379</v>
      </c>
      <c r="C10" s="267">
        <f>ROUNDUP(C33/($B$5*$B$6),0)</f>
        <v>473</v>
      </c>
      <c r="D10" s="267">
        <f t="shared" ref="D10:H10" si="0">ROUNDUP(D33/($B$5*$B$6),0)</f>
        <v>568</v>
      </c>
      <c r="E10" s="267">
        <f t="shared" si="0"/>
        <v>662</v>
      </c>
      <c r="F10" s="267">
        <f t="shared" si="0"/>
        <v>757</v>
      </c>
      <c r="G10" s="267">
        <f t="shared" si="0"/>
        <v>851</v>
      </c>
      <c r="H10" s="267">
        <f t="shared" si="0"/>
        <v>792</v>
      </c>
    </row>
    <row r="11" spans="1:8" x14ac:dyDescent="0.2">
      <c r="A11" s="195" t="str">
        <f>'10.Grain Production details'!A42</f>
        <v>Soybean</v>
      </c>
      <c r="B11" s="195">
        <f>'10.Grain Production details'!B42</f>
        <v>2254.1400000000003</v>
      </c>
      <c r="C11" s="195">
        <f>'10.Grain Production details'!C42</f>
        <v>2817.6750000000002</v>
      </c>
      <c r="D11" s="195">
        <f>'10.Grain Production details'!D42</f>
        <v>3381.21</v>
      </c>
      <c r="E11" s="195">
        <f>'10.Grain Production details'!E42</f>
        <v>3944.7449999999999</v>
      </c>
      <c r="F11" s="195">
        <f>'10.Grain Production details'!F42</f>
        <v>4508.28</v>
      </c>
      <c r="G11" s="195">
        <f>'10.Grain Production details'!G42</f>
        <v>5071.8149999999996</v>
      </c>
      <c r="H11" s="195">
        <f>'10.Grain Production details'!H42</f>
        <v>5635.3499999999995</v>
      </c>
    </row>
    <row r="12" spans="1:8" x14ac:dyDescent="0.2">
      <c r="A12" s="195" t="str">
        <f>'10.Grain Production details'!A43</f>
        <v>Red Gram/Tur</v>
      </c>
      <c r="B12" s="195">
        <f>'10.Grain Production details'!B43</f>
        <v>7647.9750000000004</v>
      </c>
      <c r="C12" s="195">
        <f>'10.Grain Production details'!C43</f>
        <v>9559.96875</v>
      </c>
      <c r="D12" s="195">
        <f>'10.Grain Production details'!D43</f>
        <v>11471.9625</v>
      </c>
      <c r="E12" s="195">
        <f>'10.Grain Production details'!E43</f>
        <v>13383.956249999999</v>
      </c>
      <c r="F12" s="195">
        <f>'10.Grain Production details'!F43</f>
        <v>15295.949999999999</v>
      </c>
      <c r="G12" s="195">
        <f>'10.Grain Production details'!G43</f>
        <v>17207.943749999999</v>
      </c>
      <c r="H12" s="195">
        <f>'10.Grain Production details'!H43</f>
        <v>19119.937499999996</v>
      </c>
    </row>
    <row r="13" spans="1:8" x14ac:dyDescent="0.2">
      <c r="A13" s="195" t="str">
        <f>'10.Grain Production details'!A44</f>
        <v>Paddy/Rice</v>
      </c>
      <c r="B13" s="195">
        <f>'10.Grain Production details'!B44</f>
        <v>0</v>
      </c>
      <c r="C13" s="195">
        <f>'10.Grain Production details'!C44</f>
        <v>0</v>
      </c>
      <c r="D13" s="195">
        <f>'10.Grain Production details'!D44</f>
        <v>0</v>
      </c>
      <c r="E13" s="195">
        <f>'10.Grain Production details'!E44</f>
        <v>0</v>
      </c>
      <c r="F13" s="195">
        <f>'10.Grain Production details'!F44</f>
        <v>0</v>
      </c>
      <c r="G13" s="195">
        <f>'10.Grain Production details'!G44</f>
        <v>0</v>
      </c>
      <c r="H13" s="195">
        <f>'10.Grain Production details'!H44</f>
        <v>0</v>
      </c>
    </row>
    <row r="14" spans="1:8" x14ac:dyDescent="0.2">
      <c r="A14" s="195" t="str">
        <f>'10.Grain Production details'!A45</f>
        <v>Green Gram/ Moong</v>
      </c>
      <c r="B14" s="195">
        <f>'10.Grain Production details'!B45</f>
        <v>2191.5250000000001</v>
      </c>
      <c r="C14" s="195">
        <f>'10.Grain Production details'!C45</f>
        <v>2739.40625</v>
      </c>
      <c r="D14" s="195">
        <f>'10.Grain Production details'!D45</f>
        <v>3287.2874999999999</v>
      </c>
      <c r="E14" s="195">
        <f>'10.Grain Production details'!E45</f>
        <v>3835.1687499999998</v>
      </c>
      <c r="F14" s="195">
        <f>'10.Grain Production details'!F45</f>
        <v>4383.0499999999993</v>
      </c>
      <c r="G14" s="195">
        <f>'10.Grain Production details'!G45</f>
        <v>4930.9312499999996</v>
      </c>
      <c r="H14" s="195">
        <f>'10.Grain Production details'!H45</f>
        <v>5478.8124999999991</v>
      </c>
    </row>
    <row r="15" spans="1:8" x14ac:dyDescent="0.2">
      <c r="A15" s="195" t="str">
        <f>'10.Grain Production details'!A46</f>
        <v>Maize</v>
      </c>
      <c r="B15" s="195">
        <f>'10.Grain Production details'!B46</f>
        <v>0</v>
      </c>
      <c r="C15" s="195">
        <f>'10.Grain Production details'!C46</f>
        <v>0</v>
      </c>
      <c r="D15" s="195">
        <f>'10.Grain Production details'!D46</f>
        <v>0</v>
      </c>
      <c r="E15" s="195">
        <f>'10.Grain Production details'!E46</f>
        <v>0</v>
      </c>
      <c r="F15" s="195">
        <f>'10.Grain Production details'!F46</f>
        <v>0</v>
      </c>
      <c r="G15" s="195">
        <f>'10.Grain Production details'!G46</f>
        <v>0</v>
      </c>
      <c r="H15" s="195">
        <f>'10.Grain Production details'!H46</f>
        <v>0</v>
      </c>
    </row>
    <row r="16" spans="1:8" x14ac:dyDescent="0.2">
      <c r="A16" s="195" t="str">
        <f>'10.Grain Production details'!A47</f>
        <v>Black Gram/Udid</v>
      </c>
      <c r="B16" s="195">
        <f>'10.Grain Production details'!B47</f>
        <v>161.01</v>
      </c>
      <c r="C16" s="195">
        <f>'10.Grain Production details'!C47</f>
        <v>201.26249999999999</v>
      </c>
      <c r="D16" s="195">
        <f>'10.Grain Production details'!D47</f>
        <v>241.51499999999999</v>
      </c>
      <c r="E16" s="195">
        <f>'10.Grain Production details'!E47</f>
        <v>281.76749999999998</v>
      </c>
      <c r="F16" s="195">
        <f>'10.Grain Production details'!F47</f>
        <v>322.02</v>
      </c>
      <c r="G16" s="195">
        <f>'10.Grain Production details'!G47</f>
        <v>362.27249999999998</v>
      </c>
      <c r="H16" s="195">
        <f>'10.Grain Production details'!H47</f>
        <v>402.52499999999998</v>
      </c>
    </row>
    <row r="17" spans="1:14" x14ac:dyDescent="0.2">
      <c r="A17" s="195" t="str">
        <f>'10.Grain Production details'!A48</f>
        <v>Bajra</v>
      </c>
      <c r="B17" s="195">
        <f>'10.Grain Production details'!B48</f>
        <v>175.322</v>
      </c>
      <c r="C17" s="195">
        <f>'10.Grain Production details'!C48</f>
        <v>219.1525</v>
      </c>
      <c r="D17" s="195">
        <f>'10.Grain Production details'!D48</f>
        <v>262.983</v>
      </c>
      <c r="E17" s="195">
        <f>'10.Grain Production details'!E48</f>
        <v>306.81349999999998</v>
      </c>
      <c r="F17" s="195">
        <f>'10.Grain Production details'!F48</f>
        <v>350.64399999999995</v>
      </c>
      <c r="G17" s="195">
        <f>'10.Grain Production details'!G48</f>
        <v>394.47449999999992</v>
      </c>
      <c r="H17" s="195">
        <f>'10.Grain Production details'!H48</f>
        <v>438.30499999999989</v>
      </c>
    </row>
    <row r="18" spans="1:14" x14ac:dyDescent="0.2">
      <c r="A18" s="195" t="str">
        <f>'10.Grain Production details'!A49</f>
        <v>Jawar</v>
      </c>
      <c r="B18" s="195">
        <f>'10.Grain Production details'!B49</f>
        <v>0</v>
      </c>
      <c r="C18" s="195">
        <f>'10.Grain Production details'!C49</f>
        <v>0</v>
      </c>
      <c r="D18" s="195">
        <f>'10.Grain Production details'!D49</f>
        <v>0</v>
      </c>
      <c r="E18" s="195">
        <f>'10.Grain Production details'!E49</f>
        <v>0</v>
      </c>
      <c r="F18" s="195">
        <f>'10.Grain Production details'!F49</f>
        <v>0</v>
      </c>
      <c r="G18" s="195">
        <f>'10.Grain Production details'!G49</f>
        <v>0</v>
      </c>
      <c r="H18" s="195">
        <f>'10.Grain Production details'!H49</f>
        <v>0</v>
      </c>
    </row>
    <row r="19" spans="1:14" x14ac:dyDescent="0.2">
      <c r="A19" s="195" t="str">
        <f>'10.Grain Production details'!A50</f>
        <v>Sunflower</v>
      </c>
      <c r="B19" s="195">
        <f>'10.Grain Production details'!B50</f>
        <v>0</v>
      </c>
      <c r="C19" s="195">
        <f>'10.Grain Production details'!C50</f>
        <v>0</v>
      </c>
      <c r="D19" s="195">
        <f>'10.Grain Production details'!D50</f>
        <v>0</v>
      </c>
      <c r="E19" s="195">
        <f>'10.Grain Production details'!E50</f>
        <v>0</v>
      </c>
      <c r="F19" s="195">
        <f>'10.Grain Production details'!F50</f>
        <v>0</v>
      </c>
      <c r="G19" s="195">
        <f>'10.Grain Production details'!G50</f>
        <v>0</v>
      </c>
      <c r="H19" s="195">
        <f>'10.Grain Production details'!H50</f>
        <v>0</v>
      </c>
    </row>
    <row r="20" spans="1:14" x14ac:dyDescent="0.2">
      <c r="A20" s="195" t="str">
        <f>'10.Grain Production details'!A51</f>
        <v>Wheat</v>
      </c>
      <c r="B20" s="195">
        <f>'10.Grain Production details'!B51</f>
        <v>3864.2400000000002</v>
      </c>
      <c r="C20" s="195">
        <f>'10.Grain Production details'!C51</f>
        <v>4830.3</v>
      </c>
      <c r="D20" s="195">
        <f>'10.Grain Production details'!D51</f>
        <v>5796.36</v>
      </c>
      <c r="E20" s="195">
        <f>'10.Grain Production details'!E51</f>
        <v>6762.42</v>
      </c>
      <c r="F20" s="195">
        <f>'10.Grain Production details'!F51</f>
        <v>7728.48</v>
      </c>
      <c r="G20" s="195">
        <f>'10.Grain Production details'!G51</f>
        <v>8694.5399999999991</v>
      </c>
      <c r="H20" s="195">
        <f>'10.Grain Production details'!H51</f>
        <v>9660.5999999999985</v>
      </c>
    </row>
    <row r="21" spans="1:14" x14ac:dyDescent="0.2">
      <c r="A21" s="195" t="str">
        <f>'10.Grain Production details'!A52</f>
        <v>Bengal Gram/Channa</v>
      </c>
      <c r="B21" s="195">
        <f>'10.Grain Production details'!B52</f>
        <v>5796.3600000000006</v>
      </c>
      <c r="C21" s="195">
        <f>'10.Grain Production details'!C52</f>
        <v>7245.4500000000007</v>
      </c>
      <c r="D21" s="195">
        <f>'10.Grain Production details'!D52</f>
        <v>8694.5400000000009</v>
      </c>
      <c r="E21" s="195">
        <f>'10.Grain Production details'!E52</f>
        <v>10143.630000000001</v>
      </c>
      <c r="F21" s="195">
        <f>'10.Grain Production details'!F52</f>
        <v>11592.720000000001</v>
      </c>
      <c r="G21" s="195">
        <f>'10.Grain Production details'!G52</f>
        <v>13041.810000000001</v>
      </c>
      <c r="H21" s="195">
        <f>'10.Grain Production details'!H52</f>
        <v>14490.900000000001</v>
      </c>
    </row>
    <row r="22" spans="1:14" x14ac:dyDescent="0.2">
      <c r="A22" s="195" t="str">
        <f>'10.Grain Production details'!A53</f>
        <v>Jawar</v>
      </c>
      <c r="B22" s="195">
        <f>'10.Grain Production details'!B53</f>
        <v>4418.8300000000008</v>
      </c>
      <c r="C22" s="195">
        <f>'10.Grain Production details'!C53</f>
        <v>5523.5375000000004</v>
      </c>
      <c r="D22" s="195">
        <f>'10.Grain Production details'!D53</f>
        <v>6628.2449999999999</v>
      </c>
      <c r="E22" s="195">
        <f>'10.Grain Production details'!E53</f>
        <v>7732.9525000000003</v>
      </c>
      <c r="F22" s="195">
        <f>'10.Grain Production details'!F53</f>
        <v>8837.66</v>
      </c>
      <c r="G22" s="195">
        <f>'10.Grain Production details'!G53</f>
        <v>9942.3675000000003</v>
      </c>
      <c r="H22" s="195">
        <f>'11.F&amp;V Crop Production details'!H83</f>
        <v>0</v>
      </c>
    </row>
    <row r="23" spans="1:14" x14ac:dyDescent="0.2">
      <c r="A23" s="195" t="str">
        <f>'10.Grain Production details'!A54</f>
        <v>Maize</v>
      </c>
      <c r="B23" s="195">
        <f>'10.Grain Production details'!B54</f>
        <v>715.6</v>
      </c>
      <c r="C23" s="195">
        <f>'10.Grain Production details'!C54</f>
        <v>894.5</v>
      </c>
      <c r="D23" s="195">
        <f>'10.Grain Production details'!D54</f>
        <v>1073.3999999999999</v>
      </c>
      <c r="E23" s="195">
        <f>'10.Grain Production details'!E54</f>
        <v>1252.2999999999997</v>
      </c>
      <c r="F23" s="195">
        <f>'10.Grain Production details'!F54</f>
        <v>1431.1999999999996</v>
      </c>
      <c r="G23" s="195">
        <f>'10.Grain Production details'!G54</f>
        <v>1610.0999999999995</v>
      </c>
      <c r="H23" s="195">
        <f>'10.Grain Production details'!H54</f>
        <v>1788.9999999999993</v>
      </c>
    </row>
    <row r="24" spans="1:14" x14ac:dyDescent="0.2">
      <c r="A24" s="195" t="str">
        <f>'10.Grain Production details'!A55</f>
        <v>Safflower</v>
      </c>
      <c r="B24" s="195">
        <f>'10.Grain Production details'!B55</f>
        <v>0</v>
      </c>
      <c r="C24" s="195">
        <f>'10.Grain Production details'!C55</f>
        <v>0</v>
      </c>
      <c r="D24" s="195">
        <f>'10.Grain Production details'!D55</f>
        <v>0</v>
      </c>
      <c r="E24" s="195">
        <f>'10.Grain Production details'!E55</f>
        <v>0</v>
      </c>
      <c r="F24" s="195">
        <f>'10.Grain Production details'!F55</f>
        <v>0</v>
      </c>
      <c r="G24" s="195">
        <f>'10.Grain Production details'!G55</f>
        <v>0</v>
      </c>
      <c r="H24" s="195">
        <f>'10.Grain Production details'!H55</f>
        <v>0</v>
      </c>
      <c r="L24" t="s">
        <v>722</v>
      </c>
    </row>
    <row r="25" spans="1:14" x14ac:dyDescent="0.2">
      <c r="A25" s="195">
        <f>'10.Grain Production details'!A56</f>
        <v>0</v>
      </c>
      <c r="B25" s="195">
        <f>'10.Grain Production details'!B56</f>
        <v>0</v>
      </c>
      <c r="C25" s="195">
        <f>'10.Grain Production details'!C56</f>
        <v>0</v>
      </c>
      <c r="D25" s="195">
        <f>'10.Grain Production details'!D56</f>
        <v>0</v>
      </c>
      <c r="E25" s="195">
        <f>'10.Grain Production details'!E56</f>
        <v>0</v>
      </c>
      <c r="F25" s="195">
        <f>'10.Grain Production details'!F56</f>
        <v>0</v>
      </c>
      <c r="G25" s="195">
        <f>'10.Grain Production details'!G56</f>
        <v>0</v>
      </c>
      <c r="H25" s="195">
        <f>'10.Grain Production details'!H56</f>
        <v>0</v>
      </c>
      <c r="K25">
        <v>1</v>
      </c>
      <c r="L25" t="s">
        <v>723</v>
      </c>
      <c r="M25" s="21">
        <f>B11</f>
        <v>2254.1400000000003</v>
      </c>
      <c r="N25" s="21">
        <f>M25/100</f>
        <v>22.541400000000003</v>
      </c>
    </row>
    <row r="26" spans="1:14" x14ac:dyDescent="0.2">
      <c r="A26" s="195">
        <f>'10.Grain Production details'!A57</f>
        <v>0</v>
      </c>
      <c r="B26" s="195">
        <f>'10.Grain Production details'!B57</f>
        <v>0</v>
      </c>
      <c r="C26" s="195">
        <f>'10.Grain Production details'!C57</f>
        <v>0</v>
      </c>
      <c r="D26" s="195">
        <f>'10.Grain Production details'!D57</f>
        <v>0</v>
      </c>
      <c r="E26" s="195">
        <f>'10.Grain Production details'!E57</f>
        <v>0</v>
      </c>
      <c r="F26" s="195">
        <f>'10.Grain Production details'!F57</f>
        <v>0</v>
      </c>
      <c r="G26" s="195">
        <f>'10.Grain Production details'!G57</f>
        <v>0</v>
      </c>
      <c r="H26" s="195">
        <f>'10.Grain Production details'!H57</f>
        <v>0</v>
      </c>
      <c r="K26">
        <v>2</v>
      </c>
      <c r="L26" t="s">
        <v>165</v>
      </c>
      <c r="M26" s="21">
        <f>B21</f>
        <v>5796.3600000000006</v>
      </c>
      <c r="N26" s="21">
        <f t="shared" ref="N26:N29" si="1">M26/100</f>
        <v>57.963600000000007</v>
      </c>
    </row>
    <row r="27" spans="1:14" x14ac:dyDescent="0.2">
      <c r="A27" s="195">
        <f>'10.Grain Production details'!A58</f>
        <v>0</v>
      </c>
      <c r="B27" s="195">
        <f>'10.Grain Production details'!B58</f>
        <v>0</v>
      </c>
      <c r="C27" s="195">
        <f>'10.Grain Production details'!C58</f>
        <v>0</v>
      </c>
      <c r="D27" s="195">
        <f>'10.Grain Production details'!D58</f>
        <v>0</v>
      </c>
      <c r="E27" s="195">
        <f>'10.Grain Production details'!E58</f>
        <v>0</v>
      </c>
      <c r="F27" s="195">
        <f>'10.Grain Production details'!F58</f>
        <v>0</v>
      </c>
      <c r="G27" s="195">
        <f>'10.Grain Production details'!G58</f>
        <v>0</v>
      </c>
      <c r="H27" s="195">
        <f>'10.Grain Production details'!H58</f>
        <v>0</v>
      </c>
      <c r="K27">
        <v>3</v>
      </c>
      <c r="L27" t="s">
        <v>756</v>
      </c>
      <c r="M27" s="21">
        <f>B12</f>
        <v>7647.9750000000004</v>
      </c>
      <c r="N27" s="21">
        <f t="shared" si="1"/>
        <v>76.47975000000001</v>
      </c>
    </row>
    <row r="28" spans="1:14" x14ac:dyDescent="0.2">
      <c r="A28" s="195" t="str">
        <f>'10.Grain Production details'!A59</f>
        <v>Groundnut</v>
      </c>
      <c r="B28" s="195">
        <f>'10.Grain Production details'!B59</f>
        <v>0</v>
      </c>
      <c r="C28" s="195">
        <f>'10.Grain Production details'!C59</f>
        <v>0</v>
      </c>
      <c r="D28" s="195">
        <f>'10.Grain Production details'!D59</f>
        <v>0</v>
      </c>
      <c r="E28" s="195">
        <f>'10.Grain Production details'!E59</f>
        <v>0</v>
      </c>
      <c r="F28" s="195">
        <f>'10.Grain Production details'!F59</f>
        <v>0</v>
      </c>
      <c r="G28" s="195">
        <f>'10.Grain Production details'!G59</f>
        <v>0</v>
      </c>
      <c r="H28" s="195">
        <f>'10.Grain Production details'!H59</f>
        <v>0</v>
      </c>
      <c r="K28">
        <v>4</v>
      </c>
      <c r="L28" t="s">
        <v>757</v>
      </c>
      <c r="M28">
        <v>1350</v>
      </c>
      <c r="N28" s="21">
        <f t="shared" si="1"/>
        <v>13.5</v>
      </c>
    </row>
    <row r="29" spans="1:14" x14ac:dyDescent="0.2">
      <c r="A29" s="195">
        <f>'10.Grain Production details'!A60</f>
        <v>0</v>
      </c>
      <c r="B29" s="195">
        <f>'10.Grain Production details'!B60</f>
        <v>0</v>
      </c>
      <c r="C29" s="195">
        <f>'10.Grain Production details'!C60</f>
        <v>0</v>
      </c>
      <c r="D29" s="195">
        <f>'10.Grain Production details'!D60</f>
        <v>0</v>
      </c>
      <c r="E29" s="195">
        <f>'10.Grain Production details'!E60</f>
        <v>0</v>
      </c>
      <c r="F29" s="195">
        <f>'10.Grain Production details'!F60</f>
        <v>0</v>
      </c>
      <c r="G29" s="195">
        <f>'10.Grain Production details'!G60</f>
        <v>0</v>
      </c>
      <c r="H29" s="195">
        <f>'10.Grain Production details'!H60</f>
        <v>0</v>
      </c>
      <c r="K29">
        <v>5</v>
      </c>
      <c r="L29" t="s">
        <v>471</v>
      </c>
      <c r="M29">
        <v>375</v>
      </c>
      <c r="N29" s="21">
        <f t="shared" si="1"/>
        <v>3.75</v>
      </c>
    </row>
    <row r="30" spans="1:14" x14ac:dyDescent="0.2">
      <c r="A30" s="195">
        <f>'10.Grain Production details'!A61</f>
        <v>0</v>
      </c>
      <c r="B30" s="195">
        <f>'10.Grain Production details'!B61</f>
        <v>0</v>
      </c>
      <c r="C30" s="195">
        <f>'10.Grain Production details'!C61</f>
        <v>0</v>
      </c>
      <c r="D30" s="195">
        <f>'10.Grain Production details'!D61</f>
        <v>0</v>
      </c>
      <c r="E30" s="195">
        <f>'10.Grain Production details'!E61</f>
        <v>0</v>
      </c>
      <c r="F30" s="195">
        <f>'10.Grain Production details'!F61</f>
        <v>0</v>
      </c>
      <c r="G30" s="195">
        <f>'10.Grain Production details'!G61</f>
        <v>0</v>
      </c>
      <c r="H30" s="195">
        <f>'10.Grain Production details'!H61</f>
        <v>0</v>
      </c>
      <c r="K30">
        <v>6</v>
      </c>
      <c r="L30" t="s">
        <v>758</v>
      </c>
      <c r="M30" s="21">
        <f>B20</f>
        <v>3864.2400000000002</v>
      </c>
    </row>
    <row r="31" spans="1:14" x14ac:dyDescent="0.2">
      <c r="A31" s="195">
        <f>'10.Grain Production details'!A62</f>
        <v>0</v>
      </c>
      <c r="B31" s="195">
        <f>'10.Grain Production details'!B62</f>
        <v>0</v>
      </c>
      <c r="C31" s="195">
        <f>'10.Grain Production details'!C62</f>
        <v>0</v>
      </c>
      <c r="D31" s="195">
        <f>'10.Grain Production details'!D62</f>
        <v>0</v>
      </c>
      <c r="E31" s="195">
        <f>'10.Grain Production details'!E62</f>
        <v>0</v>
      </c>
      <c r="F31" s="195">
        <f>'10.Grain Production details'!F62</f>
        <v>0</v>
      </c>
      <c r="G31" s="195">
        <f>'10.Grain Production details'!G62</f>
        <v>0</v>
      </c>
      <c r="H31" s="195">
        <f>'10.Grain Production details'!H62</f>
        <v>0</v>
      </c>
      <c r="K31">
        <v>7</v>
      </c>
      <c r="L31" t="s">
        <v>164</v>
      </c>
      <c r="M31" s="21">
        <f>B21</f>
        <v>5796.3600000000006</v>
      </c>
    </row>
    <row r="32" spans="1:14" x14ac:dyDescent="0.2">
      <c r="A32" s="195">
        <f>'10.Grain Production details'!B63</f>
        <v>0</v>
      </c>
      <c r="B32" s="195">
        <f>'10.Grain Production details'!C63</f>
        <v>0</v>
      </c>
      <c r="C32" s="195">
        <f>'10.Grain Production details'!D63</f>
        <v>0</v>
      </c>
      <c r="D32" s="195">
        <f>'10.Grain Production details'!E63</f>
        <v>0</v>
      </c>
      <c r="E32" s="195">
        <f>'10.Grain Production details'!F63</f>
        <v>0</v>
      </c>
      <c r="F32" s="195">
        <f>'10.Grain Production details'!G63</f>
        <v>0</v>
      </c>
      <c r="G32" s="195">
        <f>'10.Grain Production details'!H63</f>
        <v>0</v>
      </c>
      <c r="H32" s="195">
        <f>'10.Grain Production details'!I61</f>
        <v>0</v>
      </c>
      <c r="K32">
        <v>8</v>
      </c>
      <c r="L32" t="s">
        <v>405</v>
      </c>
      <c r="M32" s="21">
        <f>B22</f>
        <v>4418.8300000000008</v>
      </c>
    </row>
    <row r="33" spans="1:13" x14ac:dyDescent="0.2">
      <c r="A33" s="92" t="s">
        <v>518</v>
      </c>
      <c r="B33" s="195">
        <f t="shared" ref="B33:H33" si="2">SUM(B11:B32)</f>
        <v>27225.002</v>
      </c>
      <c r="C33" s="195">
        <f t="shared" si="2"/>
        <v>34031.252500000002</v>
      </c>
      <c r="D33" s="195">
        <f t="shared" si="2"/>
        <v>40837.503000000004</v>
      </c>
      <c r="E33" s="195">
        <f t="shared" si="2"/>
        <v>47643.753500000006</v>
      </c>
      <c r="F33" s="195">
        <f t="shared" si="2"/>
        <v>54450.004000000001</v>
      </c>
      <c r="G33" s="195">
        <f t="shared" si="2"/>
        <v>61256.254499999995</v>
      </c>
      <c r="H33" s="195">
        <f t="shared" si="2"/>
        <v>57015.43</v>
      </c>
      <c r="K33">
        <v>9</v>
      </c>
      <c r="L33" t="s">
        <v>401</v>
      </c>
      <c r="M33" s="21">
        <f>B23</f>
        <v>715.6</v>
      </c>
    </row>
    <row r="34" spans="1:13" x14ac:dyDescent="0.2">
      <c r="A34" s="195" t="str">
        <f>'11.F&amp;V Crop Production details'!A1:H1</f>
        <v>Fruit  &amp; Vegetables Crop Production Details</v>
      </c>
      <c r="B34" s="195"/>
      <c r="C34" s="195"/>
      <c r="D34" s="195"/>
      <c r="E34" s="195"/>
      <c r="F34" s="195"/>
      <c r="G34" s="195"/>
      <c r="H34" s="195"/>
    </row>
    <row r="35" spans="1:13" x14ac:dyDescent="0.2">
      <c r="A35" s="195" t="str">
        <f>'11.F&amp;V Crop Production details'!A46</f>
        <v>Onion</v>
      </c>
      <c r="B35" s="195">
        <f>'11.F&amp;V Crop Production details'!B46</f>
        <v>0</v>
      </c>
      <c r="C35" s="195">
        <f>'11.F&amp;V Crop Production details'!C46</f>
        <v>0</v>
      </c>
      <c r="D35" s="195">
        <f>'11.F&amp;V Crop Production details'!D46</f>
        <v>0</v>
      </c>
      <c r="E35" s="195">
        <f>'11.F&amp;V Crop Production details'!E46</f>
        <v>0</v>
      </c>
      <c r="F35" s="195">
        <f>'11.F&amp;V Crop Production details'!F46</f>
        <v>0</v>
      </c>
      <c r="G35" s="195">
        <f>'11.F&amp;V Crop Production details'!G46</f>
        <v>0</v>
      </c>
      <c r="H35" s="195">
        <f>'11.F&amp;V Crop Production details'!H46</f>
        <v>0</v>
      </c>
    </row>
    <row r="36" spans="1:13" x14ac:dyDescent="0.2">
      <c r="A36" s="195" t="str">
        <f>'11.F&amp;V Crop Production details'!A47</f>
        <v>Tomato</v>
      </c>
      <c r="B36" s="195">
        <f>'11.F&amp;V Crop Production details'!B47</f>
        <v>0</v>
      </c>
      <c r="C36" s="195">
        <f>'11.F&amp;V Crop Production details'!C47</f>
        <v>0</v>
      </c>
      <c r="D36" s="195">
        <f>'11.F&amp;V Crop Production details'!D47</f>
        <v>0</v>
      </c>
      <c r="E36" s="195">
        <f>'11.F&amp;V Crop Production details'!E47</f>
        <v>0</v>
      </c>
      <c r="F36" s="195">
        <f>'11.F&amp;V Crop Production details'!F47</f>
        <v>0</v>
      </c>
      <c r="G36" s="195">
        <f>'11.F&amp;V Crop Production details'!G47</f>
        <v>0</v>
      </c>
      <c r="H36" s="195">
        <f>'11.F&amp;V Crop Production details'!H47</f>
        <v>0</v>
      </c>
    </row>
    <row r="37" spans="1:13" x14ac:dyDescent="0.2">
      <c r="A37" s="195" t="str">
        <f>'11.F&amp;V Crop Production details'!A48</f>
        <v>Okra</v>
      </c>
      <c r="B37" s="195">
        <f>'11.F&amp;V Crop Production details'!B48</f>
        <v>0</v>
      </c>
      <c r="C37" s="195">
        <f>'11.F&amp;V Crop Production details'!C48</f>
        <v>0</v>
      </c>
      <c r="D37" s="195">
        <f>'11.F&amp;V Crop Production details'!D48</f>
        <v>0</v>
      </c>
      <c r="E37" s="195">
        <f>'11.F&amp;V Crop Production details'!E48</f>
        <v>0</v>
      </c>
      <c r="F37" s="195">
        <f>'11.F&amp;V Crop Production details'!F48</f>
        <v>0</v>
      </c>
      <c r="G37" s="195">
        <f>'11.F&amp;V Crop Production details'!G48</f>
        <v>0</v>
      </c>
      <c r="H37" s="195">
        <f>'11.F&amp;V Crop Production details'!H48</f>
        <v>0</v>
      </c>
    </row>
    <row r="38" spans="1:13" x14ac:dyDescent="0.2">
      <c r="A38" s="195" t="str">
        <f>'11.F&amp;V Crop Production details'!A49</f>
        <v>Chilli</v>
      </c>
      <c r="B38" s="195">
        <f>'11.F&amp;V Crop Production details'!B49</f>
        <v>0</v>
      </c>
      <c r="C38" s="195">
        <f>'11.F&amp;V Crop Production details'!C49</f>
        <v>0</v>
      </c>
      <c r="D38" s="195">
        <f>'11.F&amp;V Crop Production details'!D49</f>
        <v>0</v>
      </c>
      <c r="E38" s="195">
        <f>'11.F&amp;V Crop Production details'!E49</f>
        <v>0</v>
      </c>
      <c r="F38" s="195">
        <f>'11.F&amp;V Crop Production details'!F49</f>
        <v>0</v>
      </c>
      <c r="G38" s="195">
        <f>'11.F&amp;V Crop Production details'!G49</f>
        <v>0</v>
      </c>
      <c r="H38" s="195">
        <f>'11.F&amp;V Crop Production details'!H49</f>
        <v>0</v>
      </c>
    </row>
    <row r="39" spans="1:13" x14ac:dyDescent="0.2">
      <c r="A39" s="195" t="str">
        <f>'11.F&amp;V Crop Production details'!A50</f>
        <v>Potato</v>
      </c>
      <c r="B39" s="195">
        <f>'11.F&amp;V Crop Production details'!B50</f>
        <v>0</v>
      </c>
      <c r="C39" s="195">
        <f>'11.F&amp;V Crop Production details'!C50</f>
        <v>0</v>
      </c>
      <c r="D39" s="195">
        <f>'11.F&amp;V Crop Production details'!D50</f>
        <v>0</v>
      </c>
      <c r="E39" s="195">
        <f>'11.F&amp;V Crop Production details'!E50</f>
        <v>0</v>
      </c>
      <c r="F39" s="195">
        <f>'11.F&amp;V Crop Production details'!F50</f>
        <v>0</v>
      </c>
      <c r="G39" s="195">
        <f>'11.F&amp;V Crop Production details'!G50</f>
        <v>0</v>
      </c>
      <c r="H39" s="195">
        <f>'11.F&amp;V Crop Production details'!H50</f>
        <v>0</v>
      </c>
    </row>
    <row r="40" spans="1:13" x14ac:dyDescent="0.2">
      <c r="A40" s="195">
        <f>'11.F&amp;V Crop Production details'!A51</f>
        <v>0</v>
      </c>
      <c r="B40" s="195">
        <f>'11.F&amp;V Crop Production details'!B51</f>
        <v>0</v>
      </c>
      <c r="C40" s="195">
        <f>'11.F&amp;V Crop Production details'!C51</f>
        <v>0</v>
      </c>
      <c r="D40" s="195">
        <f>'11.F&amp;V Crop Production details'!D51</f>
        <v>0</v>
      </c>
      <c r="E40" s="195">
        <f>'11.F&amp;V Crop Production details'!E51</f>
        <v>0</v>
      </c>
      <c r="F40" s="195">
        <f>'11.F&amp;V Crop Production details'!F51</f>
        <v>0</v>
      </c>
      <c r="G40" s="195">
        <f>'11.F&amp;V Crop Production details'!G51</f>
        <v>0</v>
      </c>
      <c r="H40" s="195">
        <f>'11.F&amp;V Crop Production details'!H51</f>
        <v>0</v>
      </c>
    </row>
    <row r="41" spans="1:13" x14ac:dyDescent="0.2">
      <c r="A41" s="195">
        <f>'11.F&amp;V Crop Production details'!A52</f>
        <v>0</v>
      </c>
      <c r="B41" s="195">
        <f>'11.F&amp;V Crop Production details'!B52</f>
        <v>0</v>
      </c>
      <c r="C41" s="195">
        <f>'11.F&amp;V Crop Production details'!C52</f>
        <v>0</v>
      </c>
      <c r="D41" s="195">
        <f>'11.F&amp;V Crop Production details'!D52</f>
        <v>0</v>
      </c>
      <c r="E41" s="195">
        <f>'11.F&amp;V Crop Production details'!E52</f>
        <v>0</v>
      </c>
      <c r="F41" s="195">
        <f>'11.F&amp;V Crop Production details'!F52</f>
        <v>0</v>
      </c>
      <c r="G41" s="195">
        <f>'11.F&amp;V Crop Production details'!G52</f>
        <v>0</v>
      </c>
      <c r="H41" s="195">
        <f>'11.F&amp;V Crop Production details'!H52</f>
        <v>0</v>
      </c>
    </row>
    <row r="42" spans="1:13" x14ac:dyDescent="0.2">
      <c r="A42" s="195">
        <f>'11.F&amp;V Crop Production details'!A53</f>
        <v>0</v>
      </c>
      <c r="B42" s="195">
        <f>'11.F&amp;V Crop Production details'!B53</f>
        <v>0</v>
      </c>
      <c r="C42" s="195">
        <f>'11.F&amp;V Crop Production details'!C53</f>
        <v>0</v>
      </c>
      <c r="D42" s="195">
        <f>'11.F&amp;V Crop Production details'!D53</f>
        <v>0</v>
      </c>
      <c r="E42" s="195">
        <f>'11.F&amp;V Crop Production details'!E53</f>
        <v>0</v>
      </c>
      <c r="F42" s="195">
        <f>'11.F&amp;V Crop Production details'!F53</f>
        <v>0</v>
      </c>
      <c r="G42" s="195">
        <f>'11.F&amp;V Crop Production details'!G53</f>
        <v>0</v>
      </c>
      <c r="H42" s="195">
        <f>'11.F&amp;V Crop Production details'!H53</f>
        <v>0</v>
      </c>
    </row>
    <row r="43" spans="1:13" x14ac:dyDescent="0.2">
      <c r="A43" s="195">
        <f>'11.F&amp;V Crop Production details'!A54</f>
        <v>0</v>
      </c>
      <c r="B43" s="195">
        <f>'11.F&amp;V Crop Production details'!B54</f>
        <v>0</v>
      </c>
      <c r="C43" s="195">
        <f>'11.F&amp;V Crop Production details'!C54</f>
        <v>0</v>
      </c>
      <c r="D43" s="195">
        <f>'11.F&amp;V Crop Production details'!D54</f>
        <v>0</v>
      </c>
      <c r="E43" s="195">
        <f>'11.F&amp;V Crop Production details'!E54</f>
        <v>0</v>
      </c>
      <c r="F43" s="195">
        <f>'11.F&amp;V Crop Production details'!F54</f>
        <v>0</v>
      </c>
      <c r="G43" s="195">
        <f>'11.F&amp;V Crop Production details'!G54</f>
        <v>0</v>
      </c>
      <c r="H43" s="195">
        <f>'11.F&amp;V Crop Production details'!H54</f>
        <v>0</v>
      </c>
    </row>
    <row r="44" spans="1:13" x14ac:dyDescent="0.2">
      <c r="A44" s="195" t="str">
        <f>'11.F&amp;V Crop Production details'!A55</f>
        <v>Onion</v>
      </c>
      <c r="B44" s="195">
        <f>'11.F&amp;V Crop Production details'!B55</f>
        <v>0</v>
      </c>
      <c r="C44" s="195">
        <f>'11.F&amp;V Crop Production details'!C55</f>
        <v>0</v>
      </c>
      <c r="D44" s="195">
        <f>'11.F&amp;V Crop Production details'!D55</f>
        <v>0</v>
      </c>
      <c r="E44" s="195">
        <f>'11.F&amp;V Crop Production details'!E55</f>
        <v>0</v>
      </c>
      <c r="F44" s="195">
        <f>'11.F&amp;V Crop Production details'!F55</f>
        <v>0</v>
      </c>
      <c r="G44" s="195">
        <f>'11.F&amp;V Crop Production details'!G55</f>
        <v>0</v>
      </c>
      <c r="H44" s="195">
        <f>'11.F&amp;V Crop Production details'!H55</f>
        <v>0</v>
      </c>
    </row>
    <row r="45" spans="1:13" x14ac:dyDescent="0.2">
      <c r="A45" s="195" t="str">
        <f>'11.F&amp;V Crop Production details'!A56</f>
        <v>Tomato</v>
      </c>
      <c r="B45" s="195">
        <f>'11.F&amp;V Crop Production details'!B56</f>
        <v>0</v>
      </c>
      <c r="C45" s="195">
        <f>'11.F&amp;V Crop Production details'!C56</f>
        <v>0</v>
      </c>
      <c r="D45" s="195">
        <f>'11.F&amp;V Crop Production details'!D56</f>
        <v>0</v>
      </c>
      <c r="E45" s="195">
        <f>'11.F&amp;V Crop Production details'!E56</f>
        <v>0</v>
      </c>
      <c r="F45" s="195">
        <f>'11.F&amp;V Crop Production details'!F56</f>
        <v>0</v>
      </c>
      <c r="G45" s="195">
        <f>'11.F&amp;V Crop Production details'!G56</f>
        <v>0</v>
      </c>
      <c r="H45" s="195">
        <f>'11.F&amp;V Crop Production details'!H56</f>
        <v>0</v>
      </c>
    </row>
    <row r="46" spans="1:13" x14ac:dyDescent="0.2">
      <c r="A46" s="195" t="str">
        <f>'11.F&amp;V Crop Production details'!A57</f>
        <v>Okra</v>
      </c>
      <c r="B46" s="195">
        <f>'11.F&amp;V Crop Production details'!B57</f>
        <v>0</v>
      </c>
      <c r="C46" s="195">
        <f>'11.F&amp;V Crop Production details'!C57</f>
        <v>0</v>
      </c>
      <c r="D46" s="195">
        <f>'11.F&amp;V Crop Production details'!D57</f>
        <v>0</v>
      </c>
      <c r="E46" s="195">
        <f>'11.F&amp;V Crop Production details'!E57</f>
        <v>0</v>
      </c>
      <c r="F46" s="195">
        <f>'11.F&amp;V Crop Production details'!F57</f>
        <v>0</v>
      </c>
      <c r="G46" s="195">
        <f>'11.F&amp;V Crop Production details'!G57</f>
        <v>0</v>
      </c>
      <c r="H46" s="195">
        <f>'11.F&amp;V Crop Production details'!H57</f>
        <v>0</v>
      </c>
    </row>
    <row r="47" spans="1:13" x14ac:dyDescent="0.2">
      <c r="A47" s="195" t="str">
        <f>'11.F&amp;V Crop Production details'!A58</f>
        <v>Chilli</v>
      </c>
      <c r="B47" s="195">
        <f>'11.F&amp;V Crop Production details'!B58</f>
        <v>0</v>
      </c>
      <c r="C47" s="195">
        <f>'11.F&amp;V Crop Production details'!C58</f>
        <v>0</v>
      </c>
      <c r="D47" s="195">
        <f>'11.F&amp;V Crop Production details'!D58</f>
        <v>0</v>
      </c>
      <c r="E47" s="195">
        <f>'11.F&amp;V Crop Production details'!E58</f>
        <v>0</v>
      </c>
      <c r="F47" s="195">
        <f>'11.F&amp;V Crop Production details'!F58</f>
        <v>0</v>
      </c>
      <c r="G47" s="195">
        <f>'11.F&amp;V Crop Production details'!G58</f>
        <v>0</v>
      </c>
      <c r="H47" s="195">
        <f>'11.F&amp;V Crop Production details'!H58</f>
        <v>0</v>
      </c>
    </row>
    <row r="48" spans="1:13" x14ac:dyDescent="0.2">
      <c r="A48" s="195" t="str">
        <f>'11.F&amp;V Crop Production details'!A59</f>
        <v>Brinjal</v>
      </c>
      <c r="B48" s="195">
        <f>'11.F&amp;V Crop Production details'!B59</f>
        <v>0</v>
      </c>
      <c r="C48" s="195">
        <f>'11.F&amp;V Crop Production details'!C59</f>
        <v>0</v>
      </c>
      <c r="D48" s="195">
        <f>'11.F&amp;V Crop Production details'!D59</f>
        <v>0</v>
      </c>
      <c r="E48" s="195">
        <f>'11.F&amp;V Crop Production details'!E59</f>
        <v>0</v>
      </c>
      <c r="F48" s="195">
        <f>'11.F&amp;V Crop Production details'!F59</f>
        <v>0</v>
      </c>
      <c r="G48" s="195">
        <f>'11.F&amp;V Crop Production details'!G59</f>
        <v>0</v>
      </c>
      <c r="H48" s="195">
        <f>'11.F&amp;V Crop Production details'!H59</f>
        <v>0</v>
      </c>
    </row>
    <row r="49" spans="1:8" x14ac:dyDescent="0.2">
      <c r="A49" s="195">
        <f>'11.F&amp;V Crop Production details'!A60</f>
        <v>0</v>
      </c>
      <c r="B49" s="195">
        <f>'11.F&amp;V Crop Production details'!B60</f>
        <v>0</v>
      </c>
      <c r="C49" s="195">
        <f>'11.F&amp;V Crop Production details'!C60</f>
        <v>0</v>
      </c>
      <c r="D49" s="195">
        <f>'11.F&amp;V Crop Production details'!D60</f>
        <v>0</v>
      </c>
      <c r="E49" s="195">
        <f>'11.F&amp;V Crop Production details'!E60</f>
        <v>0</v>
      </c>
      <c r="F49" s="195">
        <f>'11.F&amp;V Crop Production details'!F60</f>
        <v>0</v>
      </c>
      <c r="G49" s="195">
        <f>'11.F&amp;V Crop Production details'!G60</f>
        <v>0</v>
      </c>
      <c r="H49" s="195">
        <f>'11.F&amp;V Crop Production details'!H60</f>
        <v>0</v>
      </c>
    </row>
    <row r="50" spans="1:8" x14ac:dyDescent="0.2">
      <c r="A50" s="195">
        <f>'11.F&amp;V Crop Production details'!A61</f>
        <v>0</v>
      </c>
      <c r="B50" s="195">
        <f>'11.F&amp;V Crop Production details'!B61</f>
        <v>0</v>
      </c>
      <c r="C50" s="195">
        <f>'11.F&amp;V Crop Production details'!C61</f>
        <v>0</v>
      </c>
      <c r="D50" s="195">
        <f>'11.F&amp;V Crop Production details'!D61</f>
        <v>0</v>
      </c>
      <c r="E50" s="195">
        <f>'11.F&amp;V Crop Production details'!E61</f>
        <v>0</v>
      </c>
      <c r="F50" s="195">
        <f>'11.F&amp;V Crop Production details'!F61</f>
        <v>0</v>
      </c>
      <c r="G50" s="195">
        <f>'11.F&amp;V Crop Production details'!G61</f>
        <v>0</v>
      </c>
      <c r="H50" s="195">
        <f>'11.F&amp;V Crop Production details'!H61</f>
        <v>0</v>
      </c>
    </row>
    <row r="51" spans="1:8" x14ac:dyDescent="0.2">
      <c r="A51" s="195">
        <f>'11.F&amp;V Crop Production details'!A62</f>
        <v>0</v>
      </c>
      <c r="B51" s="195">
        <f>'11.F&amp;V Crop Production details'!B62</f>
        <v>0</v>
      </c>
      <c r="C51" s="195">
        <f>'11.F&amp;V Crop Production details'!C62</f>
        <v>0</v>
      </c>
      <c r="D51" s="195">
        <f>'11.F&amp;V Crop Production details'!D62</f>
        <v>0</v>
      </c>
      <c r="E51" s="195">
        <f>'11.F&amp;V Crop Production details'!E62</f>
        <v>0</v>
      </c>
      <c r="F51" s="195">
        <f>'11.F&amp;V Crop Production details'!F62</f>
        <v>0</v>
      </c>
      <c r="G51" s="195">
        <f>'11.F&amp;V Crop Production details'!G62</f>
        <v>0</v>
      </c>
      <c r="H51" s="195">
        <f>'11.F&amp;V Crop Production details'!H62</f>
        <v>0</v>
      </c>
    </row>
    <row r="52" spans="1:8" x14ac:dyDescent="0.2">
      <c r="A52" s="195">
        <f>'11.F&amp;V Crop Production details'!A63</f>
        <v>0</v>
      </c>
      <c r="B52" s="195">
        <f>'11.F&amp;V Crop Production details'!B63</f>
        <v>0</v>
      </c>
      <c r="C52" s="195">
        <f>'11.F&amp;V Crop Production details'!C63</f>
        <v>0</v>
      </c>
      <c r="D52" s="195">
        <f>'11.F&amp;V Crop Production details'!D63</f>
        <v>0</v>
      </c>
      <c r="E52" s="195">
        <f>'11.F&amp;V Crop Production details'!E63</f>
        <v>0</v>
      </c>
      <c r="F52" s="195">
        <f>'11.F&amp;V Crop Production details'!F63</f>
        <v>0</v>
      </c>
      <c r="G52" s="195">
        <f>'11.F&amp;V Crop Production details'!G63</f>
        <v>0</v>
      </c>
      <c r="H52" s="195">
        <f>'11.F&amp;V Crop Production details'!H63</f>
        <v>0</v>
      </c>
    </row>
    <row r="53" spans="1:8" x14ac:dyDescent="0.2">
      <c r="A53" s="195">
        <f>'11.F&amp;V Crop Production details'!A64</f>
        <v>0</v>
      </c>
      <c r="B53" s="195"/>
      <c r="C53" s="195"/>
      <c r="D53" s="195"/>
      <c r="E53" s="195"/>
      <c r="F53" s="195"/>
      <c r="G53" s="195"/>
      <c r="H53" s="195"/>
    </row>
    <row r="54" spans="1:8" x14ac:dyDescent="0.2">
      <c r="A54" s="195">
        <f>'11.F&amp;V Crop Production details'!A65</f>
        <v>0</v>
      </c>
      <c r="B54" s="195"/>
      <c r="C54" s="195"/>
      <c r="D54" s="195"/>
      <c r="E54" s="195"/>
      <c r="F54" s="195"/>
      <c r="G54" s="195"/>
      <c r="H54" s="195"/>
    </row>
    <row r="55" spans="1:8" x14ac:dyDescent="0.2">
      <c r="A55" s="195">
        <f>'11.F&amp;V Crop Production details'!A66</f>
        <v>0</v>
      </c>
      <c r="B55" s="195"/>
      <c r="C55" s="195"/>
      <c r="D55" s="195"/>
      <c r="E55" s="195"/>
      <c r="F55" s="195"/>
      <c r="G55" s="195"/>
      <c r="H55" s="195"/>
    </row>
    <row r="56" spans="1:8" x14ac:dyDescent="0.2">
      <c r="A56" s="195" t="str">
        <f>'11.F&amp;V Crop Production details'!A67</f>
        <v>Pomegranate</v>
      </c>
      <c r="B56" s="195">
        <f>'11.F&amp;V Crop Production details'!B67</f>
        <v>0</v>
      </c>
      <c r="C56" s="195">
        <f>'11.F&amp;V Crop Production details'!C67</f>
        <v>0</v>
      </c>
      <c r="D56" s="195">
        <f>'11.F&amp;V Crop Production details'!D67</f>
        <v>0</v>
      </c>
      <c r="E56" s="195">
        <f>'11.F&amp;V Crop Production details'!E67</f>
        <v>0</v>
      </c>
      <c r="F56" s="195">
        <f>'11.F&amp;V Crop Production details'!F67</f>
        <v>0</v>
      </c>
      <c r="G56" s="195">
        <f>'11.F&amp;V Crop Production details'!G67</f>
        <v>0</v>
      </c>
      <c r="H56" s="195">
        <f>'11.F&amp;V Crop Production details'!H67</f>
        <v>0</v>
      </c>
    </row>
    <row r="57" spans="1:8" x14ac:dyDescent="0.2">
      <c r="A57" s="195" t="str">
        <f>'11.F&amp;V Crop Production details'!A68</f>
        <v>Custard Apple</v>
      </c>
      <c r="B57" s="195">
        <f>'11.F&amp;V Crop Production details'!B68</f>
        <v>0</v>
      </c>
      <c r="C57" s="195">
        <f>'11.F&amp;V Crop Production details'!C68</f>
        <v>0</v>
      </c>
      <c r="D57" s="195">
        <f>'11.F&amp;V Crop Production details'!D68</f>
        <v>0</v>
      </c>
      <c r="E57" s="195">
        <f>'11.F&amp;V Crop Production details'!E68</f>
        <v>0</v>
      </c>
      <c r="F57" s="195">
        <f>'11.F&amp;V Crop Production details'!F68</f>
        <v>0</v>
      </c>
      <c r="G57" s="195">
        <f>'11.F&amp;V Crop Production details'!G68</f>
        <v>0</v>
      </c>
      <c r="H57" s="195">
        <f>'11.F&amp;V Crop Production details'!H68</f>
        <v>0</v>
      </c>
    </row>
    <row r="58" spans="1:8" x14ac:dyDescent="0.2">
      <c r="A58" s="195" t="str">
        <f>'11.F&amp;V Crop Production details'!A69</f>
        <v>Guava</v>
      </c>
      <c r="B58" s="195">
        <f>'11.F&amp;V Crop Production details'!B69</f>
        <v>0</v>
      </c>
      <c r="C58" s="195">
        <f>'11.F&amp;V Crop Production details'!C69</f>
        <v>0</v>
      </c>
      <c r="D58" s="195">
        <f>'11.F&amp;V Crop Production details'!D69</f>
        <v>0</v>
      </c>
      <c r="E58" s="195">
        <f>'11.F&amp;V Crop Production details'!E69</f>
        <v>0</v>
      </c>
      <c r="F58" s="195">
        <f>'11.F&amp;V Crop Production details'!F69</f>
        <v>0</v>
      </c>
      <c r="G58" s="195">
        <f>'11.F&amp;V Crop Production details'!G69</f>
        <v>0</v>
      </c>
      <c r="H58" s="195">
        <f>'11.F&amp;V Crop Production details'!H69</f>
        <v>0</v>
      </c>
    </row>
    <row r="59" spans="1:8" x14ac:dyDescent="0.2">
      <c r="A59" s="195" t="str">
        <f>'11.F&amp;V Crop Production details'!A70</f>
        <v>Citrus</v>
      </c>
      <c r="B59" s="195">
        <f>'11.F&amp;V Crop Production details'!B70</f>
        <v>0</v>
      </c>
      <c r="C59" s="195">
        <f>'11.F&amp;V Crop Production details'!C70</f>
        <v>0</v>
      </c>
      <c r="D59" s="195">
        <f>'11.F&amp;V Crop Production details'!D70</f>
        <v>0</v>
      </c>
      <c r="E59" s="195">
        <f>'11.F&amp;V Crop Production details'!E70</f>
        <v>0</v>
      </c>
      <c r="F59" s="195">
        <f>'11.F&amp;V Crop Production details'!F70</f>
        <v>0</v>
      </c>
      <c r="G59" s="195">
        <f>'11.F&amp;V Crop Production details'!G70</f>
        <v>0</v>
      </c>
      <c r="H59" s="195">
        <f>'11.F&amp;V Crop Production details'!H70</f>
        <v>0</v>
      </c>
    </row>
    <row r="60" spans="1:8" x14ac:dyDescent="0.2">
      <c r="A60" s="195"/>
      <c r="B60" s="195"/>
      <c r="C60" s="195"/>
      <c r="D60" s="195"/>
      <c r="E60" s="195"/>
      <c r="F60" s="195"/>
      <c r="G60" s="195"/>
      <c r="H60" s="195"/>
    </row>
    <row r="61" spans="1:8" x14ac:dyDescent="0.2">
      <c r="A61" s="92" t="s">
        <v>517</v>
      </c>
      <c r="B61" s="195">
        <f t="shared" ref="B61:H61" si="3">SUM(B35:B59)</f>
        <v>0</v>
      </c>
      <c r="C61" s="195">
        <f t="shared" si="3"/>
        <v>0</v>
      </c>
      <c r="D61" s="195">
        <f t="shared" si="3"/>
        <v>0</v>
      </c>
      <c r="E61" s="195">
        <f t="shared" si="3"/>
        <v>0</v>
      </c>
      <c r="F61" s="195">
        <f t="shared" si="3"/>
        <v>0</v>
      </c>
      <c r="G61" s="195">
        <f t="shared" si="3"/>
        <v>0</v>
      </c>
      <c r="H61" s="195">
        <f t="shared" si="3"/>
        <v>0</v>
      </c>
    </row>
    <row r="62" spans="1:8" x14ac:dyDescent="0.2">
      <c r="A62" s="403" t="s">
        <v>519</v>
      </c>
      <c r="B62" s="404">
        <v>0.5</v>
      </c>
      <c r="C62" s="404">
        <v>0.5</v>
      </c>
      <c r="D62" s="404">
        <v>0.5</v>
      </c>
      <c r="E62" s="404">
        <v>0.5</v>
      </c>
      <c r="F62" s="404">
        <v>0.5</v>
      </c>
      <c r="G62" s="404">
        <v>0.5</v>
      </c>
      <c r="H62" s="404">
        <v>0.5</v>
      </c>
    </row>
    <row r="63" spans="1:8" x14ac:dyDescent="0.2">
      <c r="A63" s="403" t="s">
        <v>520</v>
      </c>
      <c r="B63" s="404">
        <f t="shared" ref="B63:H63" si="4">1-B62</f>
        <v>0.5</v>
      </c>
      <c r="C63" s="404">
        <f t="shared" si="4"/>
        <v>0.5</v>
      </c>
      <c r="D63" s="404">
        <f t="shared" si="4"/>
        <v>0.5</v>
      </c>
      <c r="E63" s="404">
        <f t="shared" si="4"/>
        <v>0.5</v>
      </c>
      <c r="F63" s="404">
        <f t="shared" si="4"/>
        <v>0.5</v>
      </c>
      <c r="G63" s="404">
        <f t="shared" si="4"/>
        <v>0.5</v>
      </c>
      <c r="H63" s="404">
        <f t="shared" si="4"/>
        <v>0.5</v>
      </c>
    </row>
    <row r="64" spans="1:8" x14ac:dyDescent="0.2">
      <c r="A64" s="403"/>
      <c r="B64" s="404"/>
      <c r="C64" s="404"/>
      <c r="D64" s="404"/>
      <c r="E64" s="404"/>
      <c r="F64" s="404"/>
      <c r="G64" s="404"/>
      <c r="H64" s="404"/>
    </row>
    <row r="65" spans="1:8" x14ac:dyDescent="0.2">
      <c r="A65" s="403" t="s">
        <v>166</v>
      </c>
      <c r="B65" s="405">
        <f t="shared" ref="B65:H65" si="5">B33*B62</f>
        <v>13612.501</v>
      </c>
      <c r="C65" s="405">
        <f t="shared" si="5"/>
        <v>17015.626250000001</v>
      </c>
      <c r="D65" s="405">
        <f t="shared" si="5"/>
        <v>20418.751500000002</v>
      </c>
      <c r="E65" s="405">
        <f t="shared" si="5"/>
        <v>23821.876750000003</v>
      </c>
      <c r="F65" s="405">
        <f t="shared" si="5"/>
        <v>27225.002</v>
      </c>
      <c r="G65" s="405">
        <f t="shared" si="5"/>
        <v>30628.127249999998</v>
      </c>
      <c r="H65" s="405">
        <f t="shared" si="5"/>
        <v>28507.715</v>
      </c>
    </row>
    <row r="66" spans="1:8" x14ac:dyDescent="0.2">
      <c r="A66" s="92"/>
      <c r="B66" s="195"/>
      <c r="C66" s="195"/>
      <c r="D66" s="195"/>
      <c r="E66" s="195"/>
      <c r="F66" s="195"/>
      <c r="G66" s="195"/>
      <c r="H66" s="195"/>
    </row>
    <row r="67" spans="1:8" x14ac:dyDescent="0.2">
      <c r="A67" s="92" t="s">
        <v>167</v>
      </c>
      <c r="B67" s="195"/>
      <c r="C67" s="195"/>
      <c r="D67" s="195"/>
      <c r="E67" s="195"/>
      <c r="F67" s="195"/>
      <c r="G67" s="195"/>
      <c r="H67" s="195"/>
    </row>
    <row r="68" spans="1:8" x14ac:dyDescent="0.2">
      <c r="A68" s="90" t="str">
        <f t="shared" ref="A68:A89" si="6">A11</f>
        <v>Soybean</v>
      </c>
      <c r="B68" s="266">
        <f t="shared" ref="B68:B89" si="7">B11*$B$63</f>
        <v>1127.0700000000002</v>
      </c>
      <c r="C68" s="266">
        <f t="shared" ref="C68:C83" si="8">C11*$C$63</f>
        <v>1408.8375000000001</v>
      </c>
      <c r="D68" s="266">
        <f t="shared" ref="D68:D83" si="9">D11*$D$63</f>
        <v>1690.605</v>
      </c>
      <c r="E68" s="266">
        <f t="shared" ref="E68:E83" si="10">E11*$E$63</f>
        <v>1972.3724999999999</v>
      </c>
      <c r="F68" s="266">
        <f t="shared" ref="F68:F83" si="11">F11*$F$63</f>
        <v>2254.14</v>
      </c>
      <c r="G68" s="266">
        <f t="shared" ref="G68:G83" si="12">G11*$G$63</f>
        <v>2535.9074999999998</v>
      </c>
      <c r="H68" s="266">
        <f t="shared" ref="H68:H83" si="13">H11*$H$63</f>
        <v>2817.6749999999997</v>
      </c>
    </row>
    <row r="69" spans="1:8" x14ac:dyDescent="0.2">
      <c r="A69" s="90" t="str">
        <f t="shared" si="6"/>
        <v>Red Gram/Tur</v>
      </c>
      <c r="B69" s="266">
        <f t="shared" si="7"/>
        <v>3823.9875000000002</v>
      </c>
      <c r="C69" s="266">
        <f t="shared" si="8"/>
        <v>4779.984375</v>
      </c>
      <c r="D69" s="266">
        <f t="shared" si="9"/>
        <v>5735.9812499999998</v>
      </c>
      <c r="E69" s="266">
        <f t="shared" si="10"/>
        <v>6691.9781249999996</v>
      </c>
      <c r="F69" s="266">
        <f t="shared" si="11"/>
        <v>7647.9749999999995</v>
      </c>
      <c r="G69" s="266">
        <f t="shared" si="12"/>
        <v>8603.9718749999993</v>
      </c>
      <c r="H69" s="266">
        <f t="shared" si="13"/>
        <v>9559.9687499999982</v>
      </c>
    </row>
    <row r="70" spans="1:8" x14ac:dyDescent="0.2">
      <c r="A70" s="90" t="str">
        <f t="shared" si="6"/>
        <v>Paddy/Rice</v>
      </c>
      <c r="B70" s="266">
        <f t="shared" si="7"/>
        <v>0</v>
      </c>
      <c r="C70" s="266">
        <f t="shared" si="8"/>
        <v>0</v>
      </c>
      <c r="D70" s="266">
        <f t="shared" si="9"/>
        <v>0</v>
      </c>
      <c r="E70" s="266">
        <f t="shared" si="10"/>
        <v>0</v>
      </c>
      <c r="F70" s="266">
        <f t="shared" si="11"/>
        <v>0</v>
      </c>
      <c r="G70" s="266">
        <f t="shared" si="12"/>
        <v>0</v>
      </c>
      <c r="H70" s="266">
        <f t="shared" si="13"/>
        <v>0</v>
      </c>
    </row>
    <row r="71" spans="1:8" x14ac:dyDescent="0.2">
      <c r="A71" s="90" t="str">
        <f t="shared" si="6"/>
        <v>Green Gram/ Moong</v>
      </c>
      <c r="B71" s="266">
        <f t="shared" si="7"/>
        <v>1095.7625</v>
      </c>
      <c r="C71" s="266">
        <f t="shared" si="8"/>
        <v>1369.703125</v>
      </c>
      <c r="D71" s="266">
        <f t="shared" si="9"/>
        <v>1643.64375</v>
      </c>
      <c r="E71" s="266">
        <f t="shared" si="10"/>
        <v>1917.5843749999999</v>
      </c>
      <c r="F71" s="266">
        <f t="shared" si="11"/>
        <v>2191.5249999999996</v>
      </c>
      <c r="G71" s="266">
        <f t="shared" si="12"/>
        <v>2465.4656249999998</v>
      </c>
      <c r="H71" s="266">
        <f t="shared" si="13"/>
        <v>2739.4062499999995</v>
      </c>
    </row>
    <row r="72" spans="1:8" x14ac:dyDescent="0.2">
      <c r="A72" s="90" t="str">
        <f t="shared" si="6"/>
        <v>Maize</v>
      </c>
      <c r="B72" s="266">
        <f t="shared" si="7"/>
        <v>0</v>
      </c>
      <c r="C72" s="266">
        <f t="shared" si="8"/>
        <v>0</v>
      </c>
      <c r="D72" s="266">
        <f t="shared" si="9"/>
        <v>0</v>
      </c>
      <c r="E72" s="266">
        <f t="shared" si="10"/>
        <v>0</v>
      </c>
      <c r="F72" s="266">
        <f t="shared" si="11"/>
        <v>0</v>
      </c>
      <c r="G72" s="266">
        <f t="shared" si="12"/>
        <v>0</v>
      </c>
      <c r="H72" s="266">
        <f t="shared" si="13"/>
        <v>0</v>
      </c>
    </row>
    <row r="73" spans="1:8" x14ac:dyDescent="0.2">
      <c r="A73" s="90" t="str">
        <f t="shared" si="6"/>
        <v>Black Gram/Udid</v>
      </c>
      <c r="B73" s="266">
        <f t="shared" si="7"/>
        <v>80.504999999999995</v>
      </c>
      <c r="C73" s="266">
        <f t="shared" si="8"/>
        <v>100.63124999999999</v>
      </c>
      <c r="D73" s="266">
        <f t="shared" si="9"/>
        <v>120.75749999999999</v>
      </c>
      <c r="E73" s="266">
        <f t="shared" si="10"/>
        <v>140.88374999999999</v>
      </c>
      <c r="F73" s="266">
        <f t="shared" si="11"/>
        <v>161.01</v>
      </c>
      <c r="G73" s="266">
        <f t="shared" si="12"/>
        <v>181.13624999999999</v>
      </c>
      <c r="H73" s="266">
        <f t="shared" si="13"/>
        <v>201.26249999999999</v>
      </c>
    </row>
    <row r="74" spans="1:8" x14ac:dyDescent="0.2">
      <c r="A74" s="90" t="str">
        <f t="shared" si="6"/>
        <v>Bajra</v>
      </c>
      <c r="B74" s="266">
        <f t="shared" si="7"/>
        <v>87.661000000000001</v>
      </c>
      <c r="C74" s="266">
        <f t="shared" si="8"/>
        <v>109.57625</v>
      </c>
      <c r="D74" s="266">
        <f t="shared" si="9"/>
        <v>131.4915</v>
      </c>
      <c r="E74" s="266">
        <f t="shared" si="10"/>
        <v>153.40674999999999</v>
      </c>
      <c r="F74" s="266">
        <f t="shared" si="11"/>
        <v>175.32199999999997</v>
      </c>
      <c r="G74" s="266">
        <f t="shared" si="12"/>
        <v>197.23724999999996</v>
      </c>
      <c r="H74" s="266">
        <f t="shared" si="13"/>
        <v>219.15249999999995</v>
      </c>
    </row>
    <row r="75" spans="1:8" x14ac:dyDescent="0.2">
      <c r="A75" s="90" t="str">
        <f t="shared" si="6"/>
        <v>Jawar</v>
      </c>
      <c r="B75" s="266">
        <f t="shared" si="7"/>
        <v>0</v>
      </c>
      <c r="C75" s="266">
        <f t="shared" si="8"/>
        <v>0</v>
      </c>
      <c r="D75" s="266">
        <f t="shared" si="9"/>
        <v>0</v>
      </c>
      <c r="E75" s="266">
        <f t="shared" si="10"/>
        <v>0</v>
      </c>
      <c r="F75" s="266">
        <f t="shared" si="11"/>
        <v>0</v>
      </c>
      <c r="G75" s="266">
        <f t="shared" si="12"/>
        <v>0</v>
      </c>
      <c r="H75" s="266">
        <f t="shared" si="13"/>
        <v>0</v>
      </c>
    </row>
    <row r="76" spans="1:8" x14ac:dyDescent="0.2">
      <c r="A76" s="90" t="str">
        <f t="shared" si="6"/>
        <v>Sunflower</v>
      </c>
      <c r="B76" s="266">
        <f t="shared" si="7"/>
        <v>0</v>
      </c>
      <c r="C76" s="266">
        <f t="shared" si="8"/>
        <v>0</v>
      </c>
      <c r="D76" s="266">
        <f t="shared" si="9"/>
        <v>0</v>
      </c>
      <c r="E76" s="266">
        <f t="shared" si="10"/>
        <v>0</v>
      </c>
      <c r="F76" s="266">
        <f t="shared" si="11"/>
        <v>0</v>
      </c>
      <c r="G76" s="266">
        <f t="shared" si="12"/>
        <v>0</v>
      </c>
      <c r="H76" s="266">
        <f t="shared" si="13"/>
        <v>0</v>
      </c>
    </row>
    <row r="77" spans="1:8" x14ac:dyDescent="0.2">
      <c r="A77" s="90" t="str">
        <f t="shared" si="6"/>
        <v>Wheat</v>
      </c>
      <c r="B77" s="266">
        <f t="shared" si="7"/>
        <v>1932.1200000000001</v>
      </c>
      <c r="C77" s="266">
        <f t="shared" si="8"/>
        <v>2415.15</v>
      </c>
      <c r="D77" s="266">
        <f t="shared" si="9"/>
        <v>2898.18</v>
      </c>
      <c r="E77" s="266">
        <f t="shared" si="10"/>
        <v>3381.21</v>
      </c>
      <c r="F77" s="266">
        <f t="shared" si="11"/>
        <v>3864.24</v>
      </c>
      <c r="G77" s="266">
        <f t="shared" si="12"/>
        <v>4347.2699999999995</v>
      </c>
      <c r="H77" s="266">
        <f t="shared" si="13"/>
        <v>4830.2999999999993</v>
      </c>
    </row>
    <row r="78" spans="1:8" x14ac:dyDescent="0.2">
      <c r="A78" s="90" t="str">
        <f t="shared" si="6"/>
        <v>Bengal Gram/Channa</v>
      </c>
      <c r="B78" s="266">
        <f t="shared" si="7"/>
        <v>2898.1800000000003</v>
      </c>
      <c r="C78" s="266">
        <f t="shared" si="8"/>
        <v>3622.7250000000004</v>
      </c>
      <c r="D78" s="266">
        <f t="shared" si="9"/>
        <v>4347.2700000000004</v>
      </c>
      <c r="E78" s="266">
        <f t="shared" si="10"/>
        <v>5071.8150000000005</v>
      </c>
      <c r="F78" s="266">
        <f t="shared" si="11"/>
        <v>5796.3600000000006</v>
      </c>
      <c r="G78" s="266">
        <f t="shared" si="12"/>
        <v>6520.9050000000007</v>
      </c>
      <c r="H78" s="266">
        <f t="shared" si="13"/>
        <v>7245.4500000000007</v>
      </c>
    </row>
    <row r="79" spans="1:8" x14ac:dyDescent="0.2">
      <c r="A79" s="90" t="str">
        <f t="shared" si="6"/>
        <v>Jawar</v>
      </c>
      <c r="B79" s="266">
        <f t="shared" si="7"/>
        <v>2209.4150000000004</v>
      </c>
      <c r="C79" s="266">
        <f t="shared" si="8"/>
        <v>2761.7687500000002</v>
      </c>
      <c r="D79" s="266">
        <f t="shared" si="9"/>
        <v>3314.1224999999999</v>
      </c>
      <c r="E79" s="266">
        <f t="shared" si="10"/>
        <v>3866.4762500000002</v>
      </c>
      <c r="F79" s="266">
        <f t="shared" si="11"/>
        <v>4418.83</v>
      </c>
      <c r="G79" s="266">
        <f t="shared" si="12"/>
        <v>4971.1837500000001</v>
      </c>
      <c r="H79" s="266">
        <f t="shared" si="13"/>
        <v>0</v>
      </c>
    </row>
    <row r="80" spans="1:8" x14ac:dyDescent="0.2">
      <c r="A80" s="90" t="str">
        <f t="shared" si="6"/>
        <v>Maize</v>
      </c>
      <c r="B80" s="266">
        <f t="shared" si="7"/>
        <v>357.8</v>
      </c>
      <c r="C80" s="266">
        <f t="shared" si="8"/>
        <v>447.25</v>
      </c>
      <c r="D80" s="266">
        <f t="shared" si="9"/>
        <v>536.69999999999993</v>
      </c>
      <c r="E80" s="266">
        <f t="shared" si="10"/>
        <v>626.14999999999986</v>
      </c>
      <c r="F80" s="266">
        <f t="shared" si="11"/>
        <v>715.5999999999998</v>
      </c>
      <c r="G80" s="266">
        <f t="shared" si="12"/>
        <v>805.04999999999973</v>
      </c>
      <c r="H80" s="266">
        <f t="shared" si="13"/>
        <v>894.49999999999966</v>
      </c>
    </row>
    <row r="81" spans="1:12" x14ac:dyDescent="0.2">
      <c r="A81" s="90" t="str">
        <f t="shared" si="6"/>
        <v>Safflower</v>
      </c>
      <c r="B81" s="266">
        <f t="shared" si="7"/>
        <v>0</v>
      </c>
      <c r="C81" s="266">
        <f t="shared" si="8"/>
        <v>0</v>
      </c>
      <c r="D81" s="266">
        <f t="shared" si="9"/>
        <v>0</v>
      </c>
      <c r="E81" s="266">
        <f t="shared" si="10"/>
        <v>0</v>
      </c>
      <c r="F81" s="266">
        <f t="shared" si="11"/>
        <v>0</v>
      </c>
      <c r="G81" s="266">
        <f t="shared" si="12"/>
        <v>0</v>
      </c>
      <c r="H81" s="266">
        <f t="shared" si="13"/>
        <v>0</v>
      </c>
    </row>
    <row r="82" spans="1:12" x14ac:dyDescent="0.2">
      <c r="A82" s="90">
        <f t="shared" si="6"/>
        <v>0</v>
      </c>
      <c r="B82" s="266">
        <f t="shared" si="7"/>
        <v>0</v>
      </c>
      <c r="C82" s="266">
        <f t="shared" si="8"/>
        <v>0</v>
      </c>
      <c r="D82" s="266">
        <f t="shared" si="9"/>
        <v>0</v>
      </c>
      <c r="E82" s="266">
        <f t="shared" si="10"/>
        <v>0</v>
      </c>
      <c r="F82" s="266">
        <f t="shared" si="11"/>
        <v>0</v>
      </c>
      <c r="G82" s="266">
        <f t="shared" si="12"/>
        <v>0</v>
      </c>
      <c r="H82" s="266">
        <f t="shared" si="13"/>
        <v>0</v>
      </c>
    </row>
    <row r="83" spans="1:12" x14ac:dyDescent="0.2">
      <c r="A83" s="90">
        <f t="shared" si="6"/>
        <v>0</v>
      </c>
      <c r="B83" s="266">
        <f t="shared" si="7"/>
        <v>0</v>
      </c>
      <c r="C83" s="266">
        <f t="shared" si="8"/>
        <v>0</v>
      </c>
      <c r="D83" s="266">
        <f t="shared" si="9"/>
        <v>0</v>
      </c>
      <c r="E83" s="266">
        <f t="shared" si="10"/>
        <v>0</v>
      </c>
      <c r="F83" s="266">
        <f t="shared" si="11"/>
        <v>0</v>
      </c>
      <c r="G83" s="266">
        <f t="shared" si="12"/>
        <v>0</v>
      </c>
      <c r="H83" s="266">
        <f t="shared" si="13"/>
        <v>0</v>
      </c>
    </row>
    <row r="84" spans="1:12" x14ac:dyDescent="0.2">
      <c r="A84" s="90">
        <f t="shared" si="6"/>
        <v>0</v>
      </c>
      <c r="B84" s="266">
        <f t="shared" si="7"/>
        <v>0</v>
      </c>
      <c r="C84" s="266">
        <f t="shared" ref="C84:H89" si="14">C27*$B$63</f>
        <v>0</v>
      </c>
      <c r="D84" s="266">
        <f t="shared" si="14"/>
        <v>0</v>
      </c>
      <c r="E84" s="266">
        <f t="shared" si="14"/>
        <v>0</v>
      </c>
      <c r="F84" s="266">
        <f t="shared" si="14"/>
        <v>0</v>
      </c>
      <c r="G84" s="266">
        <f t="shared" si="14"/>
        <v>0</v>
      </c>
      <c r="H84" s="266">
        <f t="shared" si="14"/>
        <v>0</v>
      </c>
    </row>
    <row r="85" spans="1:12" x14ac:dyDescent="0.2">
      <c r="A85" s="90" t="str">
        <f t="shared" si="6"/>
        <v>Groundnut</v>
      </c>
      <c r="B85" s="266">
        <f t="shared" si="7"/>
        <v>0</v>
      </c>
      <c r="C85" s="266">
        <f t="shared" si="14"/>
        <v>0</v>
      </c>
      <c r="D85" s="266">
        <f t="shared" si="14"/>
        <v>0</v>
      </c>
      <c r="E85" s="266">
        <f t="shared" si="14"/>
        <v>0</v>
      </c>
      <c r="F85" s="266">
        <f t="shared" si="14"/>
        <v>0</v>
      </c>
      <c r="G85" s="266">
        <f t="shared" si="14"/>
        <v>0</v>
      </c>
      <c r="H85" s="266">
        <f t="shared" si="14"/>
        <v>0</v>
      </c>
    </row>
    <row r="86" spans="1:12" x14ac:dyDescent="0.2">
      <c r="A86" s="90">
        <f t="shared" si="6"/>
        <v>0</v>
      </c>
      <c r="B86" s="266">
        <f t="shared" si="7"/>
        <v>0</v>
      </c>
      <c r="C86" s="266">
        <f t="shared" si="14"/>
        <v>0</v>
      </c>
      <c r="D86" s="266">
        <f t="shared" si="14"/>
        <v>0</v>
      </c>
      <c r="E86" s="266">
        <f t="shared" si="14"/>
        <v>0</v>
      </c>
      <c r="F86" s="266">
        <f t="shared" si="14"/>
        <v>0</v>
      </c>
      <c r="G86" s="266">
        <f t="shared" si="14"/>
        <v>0</v>
      </c>
      <c r="H86" s="266">
        <f t="shared" si="14"/>
        <v>0</v>
      </c>
    </row>
    <row r="87" spans="1:12" x14ac:dyDescent="0.2">
      <c r="A87" s="90">
        <f t="shared" si="6"/>
        <v>0</v>
      </c>
      <c r="B87" s="266">
        <f t="shared" si="7"/>
        <v>0</v>
      </c>
      <c r="C87" s="266">
        <f t="shared" si="14"/>
        <v>0</v>
      </c>
      <c r="D87" s="266">
        <f t="shared" si="14"/>
        <v>0</v>
      </c>
      <c r="E87" s="266">
        <f t="shared" si="14"/>
        <v>0</v>
      </c>
      <c r="F87" s="266">
        <f t="shared" si="14"/>
        <v>0</v>
      </c>
      <c r="G87" s="266">
        <f t="shared" si="14"/>
        <v>0</v>
      </c>
      <c r="H87" s="266">
        <f t="shared" si="14"/>
        <v>0</v>
      </c>
    </row>
    <row r="88" spans="1:12" x14ac:dyDescent="0.2">
      <c r="A88" s="90">
        <f t="shared" si="6"/>
        <v>0</v>
      </c>
      <c r="B88" s="266">
        <f t="shared" si="7"/>
        <v>0</v>
      </c>
      <c r="C88" s="266">
        <f t="shared" si="14"/>
        <v>0</v>
      </c>
      <c r="D88" s="266">
        <f t="shared" si="14"/>
        <v>0</v>
      </c>
      <c r="E88" s="266">
        <f t="shared" si="14"/>
        <v>0</v>
      </c>
      <c r="F88" s="266">
        <f t="shared" si="14"/>
        <v>0</v>
      </c>
      <c r="G88" s="266">
        <f t="shared" si="14"/>
        <v>0</v>
      </c>
      <c r="H88" s="266">
        <f t="shared" si="14"/>
        <v>0</v>
      </c>
    </row>
    <row r="89" spans="1:12" x14ac:dyDescent="0.2">
      <c r="A89" s="90">
        <f t="shared" si="6"/>
        <v>0</v>
      </c>
      <c r="B89" s="266">
        <f t="shared" si="7"/>
        <v>0</v>
      </c>
      <c r="C89" s="266">
        <f t="shared" si="14"/>
        <v>0</v>
      </c>
      <c r="D89" s="266">
        <f t="shared" si="14"/>
        <v>0</v>
      </c>
      <c r="E89" s="266">
        <f t="shared" si="14"/>
        <v>0</v>
      </c>
      <c r="F89" s="266">
        <f t="shared" si="14"/>
        <v>0</v>
      </c>
      <c r="G89" s="266">
        <f t="shared" si="14"/>
        <v>0</v>
      </c>
      <c r="H89" s="266">
        <f t="shared" si="14"/>
        <v>0</v>
      </c>
    </row>
    <row r="90" spans="1:12" x14ac:dyDescent="0.2">
      <c r="A90" s="90"/>
      <c r="B90" s="266"/>
      <c r="C90" s="266"/>
      <c r="D90" s="266"/>
      <c r="E90" s="266"/>
      <c r="F90" s="266"/>
      <c r="G90" s="266"/>
      <c r="H90" s="266"/>
      <c r="J90" s="287"/>
      <c r="K90" s="287"/>
      <c r="L90" s="287"/>
    </row>
    <row r="91" spans="1:12" x14ac:dyDescent="0.2">
      <c r="A91" s="90" t="str">
        <f t="shared" ref="A91:A109" si="15">A34</f>
        <v>Fruit  &amp; Vegetables Crop Production Details</v>
      </c>
      <c r="B91" s="266"/>
      <c r="C91" s="266"/>
      <c r="D91" s="266"/>
      <c r="E91" s="266"/>
      <c r="F91" s="266"/>
      <c r="G91" s="266"/>
      <c r="H91" s="266"/>
      <c r="J91" s="287"/>
      <c r="K91" s="287"/>
      <c r="L91" s="287"/>
    </row>
    <row r="92" spans="1:12" x14ac:dyDescent="0.2">
      <c r="A92" s="90" t="str">
        <f t="shared" si="15"/>
        <v>Onion</v>
      </c>
      <c r="B92" s="266">
        <f t="shared" ref="B92:H101" si="16">B35</f>
        <v>0</v>
      </c>
      <c r="C92" s="266">
        <f t="shared" si="16"/>
        <v>0</v>
      </c>
      <c r="D92" s="266">
        <f t="shared" si="16"/>
        <v>0</v>
      </c>
      <c r="E92" s="266">
        <f t="shared" si="16"/>
        <v>0</v>
      </c>
      <c r="F92" s="266">
        <f t="shared" si="16"/>
        <v>0</v>
      </c>
      <c r="G92" s="266">
        <f t="shared" si="16"/>
        <v>0</v>
      </c>
      <c r="H92" s="266">
        <f t="shared" si="16"/>
        <v>0</v>
      </c>
      <c r="J92" s="287"/>
      <c r="K92" s="287"/>
      <c r="L92" s="287"/>
    </row>
    <row r="93" spans="1:12" x14ac:dyDescent="0.2">
      <c r="A93" s="90" t="str">
        <f t="shared" si="15"/>
        <v>Tomato</v>
      </c>
      <c r="B93" s="266">
        <f t="shared" si="16"/>
        <v>0</v>
      </c>
      <c r="C93" s="266">
        <f t="shared" si="16"/>
        <v>0</v>
      </c>
      <c r="D93" s="266">
        <f t="shared" si="16"/>
        <v>0</v>
      </c>
      <c r="E93" s="266">
        <f t="shared" si="16"/>
        <v>0</v>
      </c>
      <c r="F93" s="266">
        <f t="shared" si="16"/>
        <v>0</v>
      </c>
      <c r="G93" s="266">
        <f t="shared" si="16"/>
        <v>0</v>
      </c>
      <c r="H93" s="266">
        <f t="shared" si="16"/>
        <v>0</v>
      </c>
      <c r="J93" s="287"/>
      <c r="K93" s="287"/>
      <c r="L93" s="287"/>
    </row>
    <row r="94" spans="1:12" x14ac:dyDescent="0.2">
      <c r="A94" s="90" t="str">
        <f t="shared" si="15"/>
        <v>Okra</v>
      </c>
      <c r="B94" s="266">
        <f t="shared" si="16"/>
        <v>0</v>
      </c>
      <c r="C94" s="266">
        <f t="shared" si="16"/>
        <v>0</v>
      </c>
      <c r="D94" s="266">
        <f t="shared" si="16"/>
        <v>0</v>
      </c>
      <c r="E94" s="266">
        <f t="shared" si="16"/>
        <v>0</v>
      </c>
      <c r="F94" s="266">
        <f t="shared" si="16"/>
        <v>0</v>
      </c>
      <c r="G94" s="266">
        <f t="shared" si="16"/>
        <v>0</v>
      </c>
      <c r="H94" s="266">
        <f t="shared" si="16"/>
        <v>0</v>
      </c>
      <c r="J94" s="287"/>
      <c r="K94" s="287"/>
      <c r="L94" s="287"/>
    </row>
    <row r="95" spans="1:12" x14ac:dyDescent="0.2">
      <c r="A95" s="90" t="str">
        <f t="shared" si="15"/>
        <v>Chilli</v>
      </c>
      <c r="B95" s="266">
        <f t="shared" si="16"/>
        <v>0</v>
      </c>
      <c r="C95" s="266">
        <f t="shared" si="16"/>
        <v>0</v>
      </c>
      <c r="D95" s="266">
        <f t="shared" si="16"/>
        <v>0</v>
      </c>
      <c r="E95" s="266">
        <f t="shared" si="16"/>
        <v>0</v>
      </c>
      <c r="F95" s="266">
        <f t="shared" si="16"/>
        <v>0</v>
      </c>
      <c r="G95" s="266">
        <f t="shared" si="16"/>
        <v>0</v>
      </c>
      <c r="H95" s="266">
        <f t="shared" si="16"/>
        <v>0</v>
      </c>
      <c r="J95" s="287"/>
      <c r="K95" s="287"/>
      <c r="L95" s="287"/>
    </row>
    <row r="96" spans="1:12" x14ac:dyDescent="0.2">
      <c r="A96" s="90" t="str">
        <f t="shared" si="15"/>
        <v>Potato</v>
      </c>
      <c r="B96" s="266">
        <f t="shared" si="16"/>
        <v>0</v>
      </c>
      <c r="C96" s="266">
        <f t="shared" si="16"/>
        <v>0</v>
      </c>
      <c r="D96" s="266">
        <f t="shared" si="16"/>
        <v>0</v>
      </c>
      <c r="E96" s="266">
        <f t="shared" si="16"/>
        <v>0</v>
      </c>
      <c r="F96" s="266">
        <f t="shared" si="16"/>
        <v>0</v>
      </c>
      <c r="G96" s="266">
        <f t="shared" si="16"/>
        <v>0</v>
      </c>
      <c r="H96" s="266">
        <f t="shared" si="16"/>
        <v>0</v>
      </c>
      <c r="J96" s="287"/>
      <c r="K96" s="287"/>
      <c r="L96" s="287"/>
    </row>
    <row r="97" spans="1:12" x14ac:dyDescent="0.2">
      <c r="A97" s="90">
        <f t="shared" si="15"/>
        <v>0</v>
      </c>
      <c r="B97" s="266">
        <f t="shared" si="16"/>
        <v>0</v>
      </c>
      <c r="C97" s="266">
        <f t="shared" si="16"/>
        <v>0</v>
      </c>
      <c r="D97" s="266">
        <f t="shared" si="16"/>
        <v>0</v>
      </c>
      <c r="E97" s="266">
        <f t="shared" si="16"/>
        <v>0</v>
      </c>
      <c r="F97" s="266">
        <f t="shared" si="16"/>
        <v>0</v>
      </c>
      <c r="G97" s="266">
        <f t="shared" si="16"/>
        <v>0</v>
      </c>
      <c r="H97" s="266">
        <f t="shared" si="16"/>
        <v>0</v>
      </c>
      <c r="J97" s="287"/>
      <c r="K97" s="287"/>
      <c r="L97" s="287"/>
    </row>
    <row r="98" spans="1:12" x14ac:dyDescent="0.2">
      <c r="A98" s="90">
        <f t="shared" si="15"/>
        <v>0</v>
      </c>
      <c r="B98" s="266">
        <f t="shared" si="16"/>
        <v>0</v>
      </c>
      <c r="C98" s="266">
        <f t="shared" si="16"/>
        <v>0</v>
      </c>
      <c r="D98" s="266">
        <f t="shared" si="16"/>
        <v>0</v>
      </c>
      <c r="E98" s="266">
        <f t="shared" si="16"/>
        <v>0</v>
      </c>
      <c r="F98" s="266">
        <f t="shared" si="16"/>
        <v>0</v>
      </c>
      <c r="G98" s="266">
        <f t="shared" si="16"/>
        <v>0</v>
      </c>
      <c r="H98" s="266">
        <f t="shared" si="16"/>
        <v>0</v>
      </c>
      <c r="J98" s="287"/>
      <c r="K98" s="287"/>
      <c r="L98" s="287"/>
    </row>
    <row r="99" spans="1:12" x14ac:dyDescent="0.2">
      <c r="A99" s="90">
        <f t="shared" si="15"/>
        <v>0</v>
      </c>
      <c r="B99" s="266">
        <f t="shared" si="16"/>
        <v>0</v>
      </c>
      <c r="C99" s="266">
        <f t="shared" si="16"/>
        <v>0</v>
      </c>
      <c r="D99" s="266">
        <f t="shared" si="16"/>
        <v>0</v>
      </c>
      <c r="E99" s="266">
        <f t="shared" si="16"/>
        <v>0</v>
      </c>
      <c r="F99" s="266">
        <f t="shared" si="16"/>
        <v>0</v>
      </c>
      <c r="G99" s="266">
        <f t="shared" si="16"/>
        <v>0</v>
      </c>
      <c r="H99" s="266">
        <f t="shared" si="16"/>
        <v>0</v>
      </c>
      <c r="J99" s="287"/>
      <c r="K99" s="287"/>
      <c r="L99" s="287"/>
    </row>
    <row r="100" spans="1:12" x14ac:dyDescent="0.2">
      <c r="A100" s="90">
        <f t="shared" si="15"/>
        <v>0</v>
      </c>
      <c r="B100" s="266">
        <f t="shared" si="16"/>
        <v>0</v>
      </c>
      <c r="C100" s="266">
        <f t="shared" si="16"/>
        <v>0</v>
      </c>
      <c r="D100" s="266">
        <f t="shared" si="16"/>
        <v>0</v>
      </c>
      <c r="E100" s="266">
        <f t="shared" si="16"/>
        <v>0</v>
      </c>
      <c r="F100" s="266">
        <f t="shared" si="16"/>
        <v>0</v>
      </c>
      <c r="G100" s="266">
        <f t="shared" si="16"/>
        <v>0</v>
      </c>
      <c r="H100" s="266">
        <f t="shared" si="16"/>
        <v>0</v>
      </c>
      <c r="J100" s="287"/>
      <c r="K100" s="287"/>
      <c r="L100" s="287"/>
    </row>
    <row r="101" spans="1:12" x14ac:dyDescent="0.2">
      <c r="A101" s="90" t="str">
        <f t="shared" si="15"/>
        <v>Onion</v>
      </c>
      <c r="B101" s="266">
        <f t="shared" si="16"/>
        <v>0</v>
      </c>
      <c r="C101" s="266">
        <f t="shared" si="16"/>
        <v>0</v>
      </c>
      <c r="D101" s="266">
        <f t="shared" si="16"/>
        <v>0</v>
      </c>
      <c r="E101" s="266">
        <f t="shared" si="16"/>
        <v>0</v>
      </c>
      <c r="F101" s="266">
        <f t="shared" si="16"/>
        <v>0</v>
      </c>
      <c r="G101" s="266">
        <f t="shared" si="16"/>
        <v>0</v>
      </c>
      <c r="H101" s="266">
        <f t="shared" si="16"/>
        <v>0</v>
      </c>
      <c r="J101" s="287"/>
      <c r="K101" s="287"/>
      <c r="L101" s="287"/>
    </row>
    <row r="102" spans="1:12" x14ac:dyDescent="0.2">
      <c r="A102" s="90" t="str">
        <f t="shared" si="15"/>
        <v>Tomato</v>
      </c>
      <c r="B102" s="266">
        <f t="shared" ref="B102:H109" si="17">B45</f>
        <v>0</v>
      </c>
      <c r="C102" s="266">
        <f t="shared" si="17"/>
        <v>0</v>
      </c>
      <c r="D102" s="266">
        <f t="shared" si="17"/>
        <v>0</v>
      </c>
      <c r="E102" s="266">
        <f t="shared" si="17"/>
        <v>0</v>
      </c>
      <c r="F102" s="266">
        <f t="shared" si="17"/>
        <v>0</v>
      </c>
      <c r="G102" s="266">
        <f t="shared" si="17"/>
        <v>0</v>
      </c>
      <c r="H102" s="266">
        <f t="shared" si="17"/>
        <v>0</v>
      </c>
      <c r="J102" s="287"/>
      <c r="K102" s="287"/>
      <c r="L102" s="287"/>
    </row>
    <row r="103" spans="1:12" x14ac:dyDescent="0.2">
      <c r="A103" s="90" t="str">
        <f t="shared" si="15"/>
        <v>Okra</v>
      </c>
      <c r="B103" s="266">
        <f t="shared" si="17"/>
        <v>0</v>
      </c>
      <c r="C103" s="266">
        <f t="shared" si="17"/>
        <v>0</v>
      </c>
      <c r="D103" s="266">
        <f t="shared" si="17"/>
        <v>0</v>
      </c>
      <c r="E103" s="266">
        <f t="shared" si="17"/>
        <v>0</v>
      </c>
      <c r="F103" s="266">
        <f t="shared" si="17"/>
        <v>0</v>
      </c>
      <c r="G103" s="266">
        <f t="shared" si="17"/>
        <v>0</v>
      </c>
      <c r="H103" s="266">
        <f t="shared" si="17"/>
        <v>0</v>
      </c>
      <c r="J103" s="287"/>
      <c r="K103" s="287"/>
      <c r="L103" s="287"/>
    </row>
    <row r="104" spans="1:12" x14ac:dyDescent="0.2">
      <c r="A104" s="90" t="str">
        <f t="shared" si="15"/>
        <v>Chilli</v>
      </c>
      <c r="B104" s="266">
        <f t="shared" si="17"/>
        <v>0</v>
      </c>
      <c r="C104" s="266">
        <f t="shared" si="17"/>
        <v>0</v>
      </c>
      <c r="D104" s="266">
        <f t="shared" si="17"/>
        <v>0</v>
      </c>
      <c r="E104" s="266">
        <f t="shared" si="17"/>
        <v>0</v>
      </c>
      <c r="F104" s="266">
        <f t="shared" si="17"/>
        <v>0</v>
      </c>
      <c r="G104" s="266">
        <f t="shared" si="17"/>
        <v>0</v>
      </c>
      <c r="H104" s="266">
        <f t="shared" si="17"/>
        <v>0</v>
      </c>
      <c r="J104" s="287"/>
      <c r="K104" s="287"/>
      <c r="L104" s="287"/>
    </row>
    <row r="105" spans="1:12" x14ac:dyDescent="0.2">
      <c r="A105" s="90" t="str">
        <f t="shared" si="15"/>
        <v>Brinjal</v>
      </c>
      <c r="B105" s="266">
        <f t="shared" si="17"/>
        <v>0</v>
      </c>
      <c r="C105" s="266">
        <f t="shared" si="17"/>
        <v>0</v>
      </c>
      <c r="D105" s="266">
        <f t="shared" si="17"/>
        <v>0</v>
      </c>
      <c r="E105" s="266">
        <f t="shared" si="17"/>
        <v>0</v>
      </c>
      <c r="F105" s="266">
        <f t="shared" si="17"/>
        <v>0</v>
      </c>
      <c r="G105" s="266">
        <f t="shared" si="17"/>
        <v>0</v>
      </c>
      <c r="H105" s="266">
        <f t="shared" si="17"/>
        <v>0</v>
      </c>
      <c r="J105" s="287"/>
      <c r="K105" s="287"/>
      <c r="L105" s="287"/>
    </row>
    <row r="106" spans="1:12" x14ac:dyDescent="0.2">
      <c r="A106" s="90">
        <f t="shared" si="15"/>
        <v>0</v>
      </c>
      <c r="B106" s="266">
        <f t="shared" si="17"/>
        <v>0</v>
      </c>
      <c r="C106" s="266">
        <f t="shared" si="17"/>
        <v>0</v>
      </c>
      <c r="D106" s="266">
        <f t="shared" si="17"/>
        <v>0</v>
      </c>
      <c r="E106" s="266">
        <f t="shared" si="17"/>
        <v>0</v>
      </c>
      <c r="F106" s="266">
        <f t="shared" si="17"/>
        <v>0</v>
      </c>
      <c r="G106" s="266">
        <f t="shared" si="17"/>
        <v>0</v>
      </c>
      <c r="H106" s="266">
        <f t="shared" si="17"/>
        <v>0</v>
      </c>
      <c r="J106" s="287"/>
      <c r="K106" s="287"/>
      <c r="L106" s="287"/>
    </row>
    <row r="107" spans="1:12" x14ac:dyDescent="0.2">
      <c r="A107" s="90">
        <f t="shared" si="15"/>
        <v>0</v>
      </c>
      <c r="B107" s="266">
        <f t="shared" si="17"/>
        <v>0</v>
      </c>
      <c r="C107" s="266">
        <f t="shared" si="17"/>
        <v>0</v>
      </c>
      <c r="D107" s="266">
        <f t="shared" si="17"/>
        <v>0</v>
      </c>
      <c r="E107" s="266">
        <f t="shared" si="17"/>
        <v>0</v>
      </c>
      <c r="F107" s="266">
        <f t="shared" si="17"/>
        <v>0</v>
      </c>
      <c r="G107" s="266">
        <f t="shared" si="17"/>
        <v>0</v>
      </c>
      <c r="H107" s="266">
        <f t="shared" si="17"/>
        <v>0</v>
      </c>
      <c r="J107" s="287"/>
      <c r="K107" s="287"/>
      <c r="L107" s="287"/>
    </row>
    <row r="108" spans="1:12" x14ac:dyDescent="0.2">
      <c r="A108" s="90">
        <f t="shared" si="15"/>
        <v>0</v>
      </c>
      <c r="B108" s="266">
        <f t="shared" si="17"/>
        <v>0</v>
      </c>
      <c r="C108" s="266">
        <f t="shared" si="17"/>
        <v>0</v>
      </c>
      <c r="D108" s="266">
        <f t="shared" si="17"/>
        <v>0</v>
      </c>
      <c r="E108" s="266">
        <f t="shared" si="17"/>
        <v>0</v>
      </c>
      <c r="F108" s="266">
        <f t="shared" si="17"/>
        <v>0</v>
      </c>
      <c r="G108" s="266">
        <f t="shared" si="17"/>
        <v>0</v>
      </c>
      <c r="H108" s="266">
        <f t="shared" si="17"/>
        <v>0</v>
      </c>
      <c r="J108" s="287"/>
      <c r="K108" s="287"/>
      <c r="L108" s="287"/>
    </row>
    <row r="109" spans="1:12" x14ac:dyDescent="0.2">
      <c r="A109" s="90">
        <f t="shared" si="15"/>
        <v>0</v>
      </c>
      <c r="B109" s="266">
        <f t="shared" si="17"/>
        <v>0</v>
      </c>
      <c r="C109" s="266">
        <f t="shared" si="17"/>
        <v>0</v>
      </c>
      <c r="D109" s="266">
        <f t="shared" si="17"/>
        <v>0</v>
      </c>
      <c r="E109" s="266">
        <f t="shared" si="17"/>
        <v>0</v>
      </c>
      <c r="F109" s="266">
        <f t="shared" si="17"/>
        <v>0</v>
      </c>
      <c r="G109" s="266">
        <f t="shared" si="17"/>
        <v>0</v>
      </c>
      <c r="H109" s="266">
        <f t="shared" si="17"/>
        <v>0</v>
      </c>
      <c r="J109" s="287"/>
      <c r="K109" s="287"/>
      <c r="L109" s="287"/>
    </row>
    <row r="110" spans="1:12" x14ac:dyDescent="0.2">
      <c r="A110" s="90">
        <f t="shared" ref="A110:A113" si="18">A53</f>
        <v>0</v>
      </c>
      <c r="B110" s="266"/>
      <c r="C110" s="266"/>
      <c r="D110" s="266"/>
      <c r="E110" s="266"/>
      <c r="F110" s="266"/>
      <c r="G110" s="266"/>
      <c r="H110" s="266"/>
      <c r="J110" s="287"/>
      <c r="K110" s="287"/>
      <c r="L110" s="287"/>
    </row>
    <row r="111" spans="1:12" x14ac:dyDescent="0.2">
      <c r="A111" s="90">
        <f t="shared" si="18"/>
        <v>0</v>
      </c>
      <c r="B111" s="266"/>
      <c r="C111" s="266"/>
      <c r="D111" s="266"/>
      <c r="E111" s="266"/>
      <c r="F111" s="266"/>
      <c r="G111" s="266"/>
      <c r="H111" s="266"/>
      <c r="J111" s="287"/>
      <c r="K111" s="287"/>
      <c r="L111" s="287"/>
    </row>
    <row r="112" spans="1:12" x14ac:dyDescent="0.2">
      <c r="A112" s="90">
        <f t="shared" si="18"/>
        <v>0</v>
      </c>
      <c r="B112" s="266"/>
      <c r="C112" s="266"/>
      <c r="D112" s="266"/>
      <c r="E112" s="266"/>
      <c r="F112" s="266"/>
      <c r="G112" s="266"/>
      <c r="H112" s="266"/>
      <c r="J112" s="287"/>
      <c r="K112" s="287"/>
      <c r="L112" s="287"/>
    </row>
    <row r="113" spans="1:12" x14ac:dyDescent="0.2">
      <c r="A113" s="90" t="str">
        <f t="shared" si="18"/>
        <v>Pomegranate</v>
      </c>
      <c r="B113" s="266">
        <f t="shared" ref="B113:H116" si="19">B56</f>
        <v>0</v>
      </c>
      <c r="C113" s="266">
        <f t="shared" si="19"/>
        <v>0</v>
      </c>
      <c r="D113" s="266">
        <f t="shared" si="19"/>
        <v>0</v>
      </c>
      <c r="E113" s="266">
        <f t="shared" si="19"/>
        <v>0</v>
      </c>
      <c r="F113" s="266">
        <f t="shared" si="19"/>
        <v>0</v>
      </c>
      <c r="G113" s="266">
        <f t="shared" si="19"/>
        <v>0</v>
      </c>
      <c r="H113" s="266">
        <f t="shared" si="19"/>
        <v>0</v>
      </c>
      <c r="J113" s="287"/>
      <c r="K113" s="287"/>
      <c r="L113" s="287"/>
    </row>
    <row r="114" spans="1:12" x14ac:dyDescent="0.2">
      <c r="A114" s="90" t="str">
        <f>A57</f>
        <v>Custard Apple</v>
      </c>
      <c r="B114" s="266">
        <f t="shared" si="19"/>
        <v>0</v>
      </c>
      <c r="C114" s="266">
        <f t="shared" si="19"/>
        <v>0</v>
      </c>
      <c r="D114" s="266">
        <f t="shared" si="19"/>
        <v>0</v>
      </c>
      <c r="E114" s="266">
        <f t="shared" si="19"/>
        <v>0</v>
      </c>
      <c r="F114" s="266">
        <f t="shared" si="19"/>
        <v>0</v>
      </c>
      <c r="G114" s="266">
        <f t="shared" si="19"/>
        <v>0</v>
      </c>
      <c r="H114" s="266">
        <f t="shared" si="19"/>
        <v>0</v>
      </c>
      <c r="J114" s="287"/>
      <c r="K114" s="287"/>
      <c r="L114" s="287"/>
    </row>
    <row r="115" spans="1:12" x14ac:dyDescent="0.2">
      <c r="A115" s="90" t="str">
        <f>A58</f>
        <v>Guava</v>
      </c>
      <c r="B115" s="266">
        <f t="shared" si="19"/>
        <v>0</v>
      </c>
      <c r="C115" s="266">
        <f t="shared" si="19"/>
        <v>0</v>
      </c>
      <c r="D115" s="266">
        <f t="shared" si="19"/>
        <v>0</v>
      </c>
      <c r="E115" s="266">
        <f t="shared" si="19"/>
        <v>0</v>
      </c>
      <c r="F115" s="266">
        <f t="shared" si="19"/>
        <v>0</v>
      </c>
      <c r="G115" s="266">
        <f t="shared" si="19"/>
        <v>0</v>
      </c>
      <c r="H115" s="266">
        <f t="shared" si="19"/>
        <v>0</v>
      </c>
      <c r="J115" s="287"/>
      <c r="K115" s="287"/>
      <c r="L115" s="287"/>
    </row>
    <row r="116" spans="1:12" x14ac:dyDescent="0.2">
      <c r="A116" s="90" t="str">
        <f>A59</f>
        <v>Citrus</v>
      </c>
      <c r="B116" s="266">
        <f t="shared" si="19"/>
        <v>0</v>
      </c>
      <c r="C116" s="266">
        <f t="shared" si="19"/>
        <v>0</v>
      </c>
      <c r="D116" s="266">
        <f t="shared" si="19"/>
        <v>0</v>
      </c>
      <c r="E116" s="266">
        <f t="shared" si="19"/>
        <v>0</v>
      </c>
      <c r="F116" s="266">
        <f t="shared" si="19"/>
        <v>0</v>
      </c>
      <c r="G116" s="266">
        <f t="shared" si="19"/>
        <v>0</v>
      </c>
      <c r="H116" s="266">
        <f t="shared" si="19"/>
        <v>0</v>
      </c>
      <c r="J116" s="287"/>
      <c r="K116" s="287"/>
      <c r="L116" s="287"/>
    </row>
    <row r="117" spans="1:12" x14ac:dyDescent="0.2">
      <c r="A117" s="90"/>
      <c r="B117" s="266"/>
      <c r="C117" s="266"/>
      <c r="D117" s="266"/>
      <c r="E117" s="266"/>
      <c r="F117" s="266"/>
      <c r="G117" s="266"/>
      <c r="H117" s="266"/>
      <c r="J117" s="287"/>
      <c r="K117" s="287"/>
      <c r="L117" s="287"/>
    </row>
    <row r="118" spans="1:12" x14ac:dyDescent="0.2">
      <c r="A118" s="90"/>
      <c r="B118" s="266"/>
      <c r="C118" s="266"/>
      <c r="D118" s="266"/>
      <c r="E118" s="266"/>
      <c r="F118" s="266"/>
      <c r="G118" s="266"/>
      <c r="H118" s="266"/>
      <c r="J118" s="287"/>
      <c r="K118" s="287"/>
      <c r="L118" s="287"/>
    </row>
    <row r="119" spans="1:12" x14ac:dyDescent="0.2">
      <c r="A119" s="96" t="s">
        <v>139</v>
      </c>
      <c r="B119" s="90"/>
      <c r="C119" s="90"/>
      <c r="D119" s="90"/>
      <c r="E119" s="90"/>
      <c r="F119" s="90"/>
      <c r="G119" s="90"/>
      <c r="H119" s="90"/>
    </row>
    <row r="120" spans="1:12" x14ac:dyDescent="0.2">
      <c r="A120" s="94" t="str">
        <f t="shared" ref="A120:A141" si="20">A68</f>
        <v>Soybean</v>
      </c>
      <c r="B120" s="267">
        <f>B68-(B68*$G$6)</f>
        <v>1104.5286000000001</v>
      </c>
      <c r="C120" s="267">
        <f t="shared" ref="B120:H129" si="21">C68-(C68*$G$6)</f>
        <v>1380.66075</v>
      </c>
      <c r="D120" s="267">
        <f t="shared" si="21"/>
        <v>1656.7928999999999</v>
      </c>
      <c r="E120" s="267">
        <f t="shared" si="21"/>
        <v>1932.9250500000001</v>
      </c>
      <c r="F120" s="267">
        <f t="shared" si="21"/>
        <v>2209.0571999999997</v>
      </c>
      <c r="G120" s="267">
        <f t="shared" si="21"/>
        <v>2485.1893499999996</v>
      </c>
      <c r="H120" s="267">
        <f t="shared" si="21"/>
        <v>2761.3214999999996</v>
      </c>
    </row>
    <row r="121" spans="1:12" x14ac:dyDescent="0.2">
      <c r="A121" s="94" t="str">
        <f t="shared" si="20"/>
        <v>Red Gram/Tur</v>
      </c>
      <c r="B121" s="267">
        <f t="shared" si="21"/>
        <v>3747.5077500000002</v>
      </c>
      <c r="C121" s="267">
        <f t="shared" si="21"/>
        <v>4684.3846874999999</v>
      </c>
      <c r="D121" s="267">
        <f t="shared" si="21"/>
        <v>5621.2616250000001</v>
      </c>
      <c r="E121" s="267">
        <f t="shared" si="21"/>
        <v>6558.1385624999994</v>
      </c>
      <c r="F121" s="267">
        <f t="shared" si="21"/>
        <v>7495.0154999999995</v>
      </c>
      <c r="G121" s="267">
        <f t="shared" si="21"/>
        <v>8431.8924374999988</v>
      </c>
      <c r="H121" s="267">
        <f t="shared" si="21"/>
        <v>9368.769374999998</v>
      </c>
    </row>
    <row r="122" spans="1:12" x14ac:dyDescent="0.2">
      <c r="A122" s="94" t="str">
        <f t="shared" si="20"/>
        <v>Paddy/Rice</v>
      </c>
      <c r="B122" s="267">
        <f t="shared" si="21"/>
        <v>0</v>
      </c>
      <c r="C122" s="267">
        <f t="shared" si="21"/>
        <v>0</v>
      </c>
      <c r="D122" s="267">
        <f t="shared" si="21"/>
        <v>0</v>
      </c>
      <c r="E122" s="267">
        <f t="shared" si="21"/>
        <v>0</v>
      </c>
      <c r="F122" s="267">
        <f t="shared" si="21"/>
        <v>0</v>
      </c>
      <c r="G122" s="267">
        <f t="shared" si="21"/>
        <v>0</v>
      </c>
      <c r="H122" s="267">
        <f t="shared" si="21"/>
        <v>0</v>
      </c>
    </row>
    <row r="123" spans="1:12" x14ac:dyDescent="0.2">
      <c r="A123" s="94" t="str">
        <f t="shared" si="20"/>
        <v>Green Gram/ Moong</v>
      </c>
      <c r="B123" s="267">
        <f t="shared" si="21"/>
        <v>1073.84725</v>
      </c>
      <c r="C123" s="267">
        <f t="shared" si="21"/>
        <v>1342.3090625</v>
      </c>
      <c r="D123" s="267">
        <f t="shared" si="21"/>
        <v>1610.7708749999999</v>
      </c>
      <c r="E123" s="267">
        <f t="shared" si="21"/>
        <v>1879.2326874999999</v>
      </c>
      <c r="F123" s="267">
        <f t="shared" si="21"/>
        <v>2147.6944999999996</v>
      </c>
      <c r="G123" s="267">
        <f t="shared" si="21"/>
        <v>2416.1563124999998</v>
      </c>
      <c r="H123" s="267">
        <f t="shared" si="21"/>
        <v>2684.6181249999995</v>
      </c>
    </row>
    <row r="124" spans="1:12" x14ac:dyDescent="0.2">
      <c r="A124" s="94" t="str">
        <f t="shared" si="20"/>
        <v>Maize</v>
      </c>
      <c r="B124" s="267">
        <f t="shared" si="21"/>
        <v>0</v>
      </c>
      <c r="C124" s="267">
        <f t="shared" si="21"/>
        <v>0</v>
      </c>
      <c r="D124" s="267">
        <f t="shared" si="21"/>
        <v>0</v>
      </c>
      <c r="E124" s="267">
        <f t="shared" si="21"/>
        <v>0</v>
      </c>
      <c r="F124" s="267">
        <f t="shared" si="21"/>
        <v>0</v>
      </c>
      <c r="G124" s="267">
        <f t="shared" si="21"/>
        <v>0</v>
      </c>
      <c r="H124" s="267">
        <f t="shared" si="21"/>
        <v>0</v>
      </c>
    </row>
    <row r="125" spans="1:12" x14ac:dyDescent="0.2">
      <c r="A125" s="94" t="str">
        <f t="shared" si="20"/>
        <v>Black Gram/Udid</v>
      </c>
      <c r="B125" s="267">
        <f t="shared" si="21"/>
        <v>78.894899999999993</v>
      </c>
      <c r="C125" s="267">
        <f t="shared" si="21"/>
        <v>98.618624999999994</v>
      </c>
      <c r="D125" s="267">
        <f t="shared" si="21"/>
        <v>118.34235</v>
      </c>
      <c r="E125" s="267">
        <f t="shared" si="21"/>
        <v>138.06607499999998</v>
      </c>
      <c r="F125" s="267">
        <f t="shared" si="21"/>
        <v>157.78979999999999</v>
      </c>
      <c r="G125" s="267">
        <f t="shared" si="21"/>
        <v>177.51352499999999</v>
      </c>
      <c r="H125" s="267">
        <f t="shared" si="21"/>
        <v>197.23724999999999</v>
      </c>
    </row>
    <row r="126" spans="1:12" x14ac:dyDescent="0.2">
      <c r="A126" s="94" t="str">
        <f t="shared" si="20"/>
        <v>Bajra</v>
      </c>
      <c r="B126" s="267">
        <f t="shared" si="21"/>
        <v>85.907780000000002</v>
      </c>
      <c r="C126" s="267">
        <f t="shared" si="21"/>
        <v>107.384725</v>
      </c>
      <c r="D126" s="267">
        <f t="shared" si="21"/>
        <v>128.86167</v>
      </c>
      <c r="E126" s="267">
        <f t="shared" si="21"/>
        <v>150.33861499999998</v>
      </c>
      <c r="F126" s="267">
        <f t="shared" si="21"/>
        <v>171.81555999999998</v>
      </c>
      <c r="G126" s="267">
        <f t="shared" si="21"/>
        <v>193.29250499999995</v>
      </c>
      <c r="H126" s="267">
        <f t="shared" si="21"/>
        <v>214.76944999999995</v>
      </c>
    </row>
    <row r="127" spans="1:12" x14ac:dyDescent="0.2">
      <c r="A127" s="94" t="str">
        <f t="shared" si="20"/>
        <v>Jawar</v>
      </c>
      <c r="B127" s="267">
        <f t="shared" si="21"/>
        <v>0</v>
      </c>
      <c r="C127" s="267">
        <f t="shared" si="21"/>
        <v>0</v>
      </c>
      <c r="D127" s="267">
        <f t="shared" si="21"/>
        <v>0</v>
      </c>
      <c r="E127" s="267">
        <f t="shared" si="21"/>
        <v>0</v>
      </c>
      <c r="F127" s="267">
        <f t="shared" si="21"/>
        <v>0</v>
      </c>
      <c r="G127" s="267">
        <f t="shared" si="21"/>
        <v>0</v>
      </c>
      <c r="H127" s="267">
        <f t="shared" si="21"/>
        <v>0</v>
      </c>
    </row>
    <row r="128" spans="1:12" x14ac:dyDescent="0.2">
      <c r="A128" s="94" t="str">
        <f t="shared" si="20"/>
        <v>Sunflower</v>
      </c>
      <c r="B128" s="267">
        <f t="shared" si="21"/>
        <v>0</v>
      </c>
      <c r="C128" s="267">
        <f t="shared" si="21"/>
        <v>0</v>
      </c>
      <c r="D128" s="267">
        <f t="shared" si="21"/>
        <v>0</v>
      </c>
      <c r="E128" s="267">
        <f t="shared" si="21"/>
        <v>0</v>
      </c>
      <c r="F128" s="267">
        <f t="shared" si="21"/>
        <v>0</v>
      </c>
      <c r="G128" s="267">
        <f t="shared" si="21"/>
        <v>0</v>
      </c>
      <c r="H128" s="267">
        <f t="shared" si="21"/>
        <v>0</v>
      </c>
    </row>
    <row r="129" spans="1:8" x14ac:dyDescent="0.2">
      <c r="A129" s="94" t="str">
        <f t="shared" si="20"/>
        <v>Wheat</v>
      </c>
      <c r="B129" s="267">
        <f t="shared" si="21"/>
        <v>1893.4776000000002</v>
      </c>
      <c r="C129" s="267">
        <f t="shared" si="21"/>
        <v>2366.8470000000002</v>
      </c>
      <c r="D129" s="267">
        <f t="shared" si="21"/>
        <v>2840.2163999999998</v>
      </c>
      <c r="E129" s="267">
        <f t="shared" si="21"/>
        <v>3313.5857999999998</v>
      </c>
      <c r="F129" s="267">
        <f t="shared" si="21"/>
        <v>3786.9551999999999</v>
      </c>
      <c r="G129" s="267">
        <f t="shared" si="21"/>
        <v>4260.3245999999999</v>
      </c>
      <c r="H129" s="267">
        <f t="shared" si="21"/>
        <v>4733.6939999999995</v>
      </c>
    </row>
    <row r="130" spans="1:8" x14ac:dyDescent="0.2">
      <c r="A130" s="94" t="str">
        <f t="shared" si="20"/>
        <v>Bengal Gram/Channa</v>
      </c>
      <c r="B130" s="267">
        <f t="shared" ref="B130:H139" si="22">B78-(B78*$G$6)</f>
        <v>2840.2164000000002</v>
      </c>
      <c r="C130" s="267">
        <f t="shared" si="22"/>
        <v>3550.2705000000005</v>
      </c>
      <c r="D130" s="267">
        <f t="shared" si="22"/>
        <v>4260.3246000000008</v>
      </c>
      <c r="E130" s="267">
        <f t="shared" si="22"/>
        <v>4970.3787000000002</v>
      </c>
      <c r="F130" s="267">
        <f t="shared" si="22"/>
        <v>5680.4328000000005</v>
      </c>
      <c r="G130" s="267">
        <f t="shared" si="22"/>
        <v>6390.4869000000008</v>
      </c>
      <c r="H130" s="267">
        <f t="shared" si="22"/>
        <v>7100.5410000000011</v>
      </c>
    </row>
    <row r="131" spans="1:8" x14ac:dyDescent="0.2">
      <c r="A131" s="94" t="str">
        <f t="shared" si="20"/>
        <v>Jawar</v>
      </c>
      <c r="B131" s="267">
        <f t="shared" si="22"/>
        <v>2165.2267000000006</v>
      </c>
      <c r="C131" s="267">
        <f t="shared" si="22"/>
        <v>2706.533375</v>
      </c>
      <c r="D131" s="267">
        <f t="shared" si="22"/>
        <v>3247.8400499999998</v>
      </c>
      <c r="E131" s="267">
        <f t="shared" si="22"/>
        <v>3789.1467250000001</v>
      </c>
      <c r="F131" s="267">
        <f t="shared" si="22"/>
        <v>4330.4534000000003</v>
      </c>
      <c r="G131" s="267">
        <f t="shared" si="22"/>
        <v>4871.7600750000001</v>
      </c>
      <c r="H131" s="267">
        <f t="shared" si="22"/>
        <v>0</v>
      </c>
    </row>
    <row r="132" spans="1:8" x14ac:dyDescent="0.2">
      <c r="A132" s="94" t="str">
        <f t="shared" si="20"/>
        <v>Maize</v>
      </c>
      <c r="B132" s="267">
        <f t="shared" si="22"/>
        <v>350.64400000000001</v>
      </c>
      <c r="C132" s="267">
        <f t="shared" si="22"/>
        <v>438.30500000000001</v>
      </c>
      <c r="D132" s="267">
        <f t="shared" si="22"/>
        <v>525.96599999999989</v>
      </c>
      <c r="E132" s="267">
        <f t="shared" si="22"/>
        <v>613.62699999999984</v>
      </c>
      <c r="F132" s="267">
        <f t="shared" si="22"/>
        <v>701.28799999999978</v>
      </c>
      <c r="G132" s="267">
        <f t="shared" si="22"/>
        <v>788.94899999999973</v>
      </c>
      <c r="H132" s="267">
        <f t="shared" si="22"/>
        <v>876.60999999999967</v>
      </c>
    </row>
    <row r="133" spans="1:8" x14ac:dyDescent="0.2">
      <c r="A133" s="94" t="str">
        <f t="shared" si="20"/>
        <v>Safflower</v>
      </c>
      <c r="B133" s="267">
        <f t="shared" si="22"/>
        <v>0</v>
      </c>
      <c r="C133" s="267">
        <f t="shared" si="22"/>
        <v>0</v>
      </c>
      <c r="D133" s="267">
        <f t="shared" si="22"/>
        <v>0</v>
      </c>
      <c r="E133" s="267">
        <f t="shared" si="22"/>
        <v>0</v>
      </c>
      <c r="F133" s="267">
        <f t="shared" si="22"/>
        <v>0</v>
      </c>
      <c r="G133" s="267">
        <f t="shared" si="22"/>
        <v>0</v>
      </c>
      <c r="H133" s="267">
        <f t="shared" si="22"/>
        <v>0</v>
      </c>
    </row>
    <row r="134" spans="1:8" x14ac:dyDescent="0.2">
      <c r="A134" s="94">
        <f t="shared" si="20"/>
        <v>0</v>
      </c>
      <c r="B134" s="267">
        <f t="shared" si="22"/>
        <v>0</v>
      </c>
      <c r="C134" s="267">
        <f t="shared" si="22"/>
        <v>0</v>
      </c>
      <c r="D134" s="267">
        <f t="shared" si="22"/>
        <v>0</v>
      </c>
      <c r="E134" s="267">
        <f t="shared" si="22"/>
        <v>0</v>
      </c>
      <c r="F134" s="267">
        <f t="shared" si="22"/>
        <v>0</v>
      </c>
      <c r="G134" s="267">
        <f t="shared" si="22"/>
        <v>0</v>
      </c>
      <c r="H134" s="267">
        <f t="shared" si="22"/>
        <v>0</v>
      </c>
    </row>
    <row r="135" spans="1:8" x14ac:dyDescent="0.2">
      <c r="A135" s="94">
        <f t="shared" si="20"/>
        <v>0</v>
      </c>
      <c r="B135" s="267">
        <f t="shared" si="22"/>
        <v>0</v>
      </c>
      <c r="C135" s="267">
        <f t="shared" si="22"/>
        <v>0</v>
      </c>
      <c r="D135" s="267">
        <f t="shared" si="22"/>
        <v>0</v>
      </c>
      <c r="E135" s="267">
        <f t="shared" si="22"/>
        <v>0</v>
      </c>
      <c r="F135" s="267">
        <f t="shared" si="22"/>
        <v>0</v>
      </c>
      <c r="G135" s="267">
        <f t="shared" si="22"/>
        <v>0</v>
      </c>
      <c r="H135" s="267">
        <f t="shared" si="22"/>
        <v>0</v>
      </c>
    </row>
    <row r="136" spans="1:8" x14ac:dyDescent="0.2">
      <c r="A136" s="94">
        <f t="shared" si="20"/>
        <v>0</v>
      </c>
      <c r="B136" s="267">
        <f t="shared" si="22"/>
        <v>0</v>
      </c>
      <c r="C136" s="267">
        <f t="shared" si="22"/>
        <v>0</v>
      </c>
      <c r="D136" s="267">
        <f t="shared" si="22"/>
        <v>0</v>
      </c>
      <c r="E136" s="267">
        <f t="shared" si="22"/>
        <v>0</v>
      </c>
      <c r="F136" s="267">
        <f t="shared" si="22"/>
        <v>0</v>
      </c>
      <c r="G136" s="267">
        <f t="shared" si="22"/>
        <v>0</v>
      </c>
      <c r="H136" s="267">
        <f t="shared" si="22"/>
        <v>0</v>
      </c>
    </row>
    <row r="137" spans="1:8" x14ac:dyDescent="0.2">
      <c r="A137" s="94" t="str">
        <f t="shared" si="20"/>
        <v>Groundnut</v>
      </c>
      <c r="B137" s="267">
        <f t="shared" si="22"/>
        <v>0</v>
      </c>
      <c r="C137" s="267">
        <f t="shared" si="22"/>
        <v>0</v>
      </c>
      <c r="D137" s="267">
        <f t="shared" si="22"/>
        <v>0</v>
      </c>
      <c r="E137" s="267">
        <f t="shared" si="22"/>
        <v>0</v>
      </c>
      <c r="F137" s="267">
        <f t="shared" si="22"/>
        <v>0</v>
      </c>
      <c r="G137" s="267">
        <f t="shared" si="22"/>
        <v>0</v>
      </c>
      <c r="H137" s="267">
        <f t="shared" si="22"/>
        <v>0</v>
      </c>
    </row>
    <row r="138" spans="1:8" x14ac:dyDescent="0.2">
      <c r="A138" s="94">
        <f t="shared" si="20"/>
        <v>0</v>
      </c>
      <c r="B138" s="267">
        <f t="shared" si="22"/>
        <v>0</v>
      </c>
      <c r="C138" s="267">
        <f t="shared" si="22"/>
        <v>0</v>
      </c>
      <c r="D138" s="267">
        <f t="shared" si="22"/>
        <v>0</v>
      </c>
      <c r="E138" s="267">
        <f t="shared" si="22"/>
        <v>0</v>
      </c>
      <c r="F138" s="267">
        <f t="shared" si="22"/>
        <v>0</v>
      </c>
      <c r="G138" s="267">
        <f t="shared" si="22"/>
        <v>0</v>
      </c>
      <c r="H138" s="267">
        <f t="shared" si="22"/>
        <v>0</v>
      </c>
    </row>
    <row r="139" spans="1:8" x14ac:dyDescent="0.2">
      <c r="A139" s="94">
        <f t="shared" si="20"/>
        <v>0</v>
      </c>
      <c r="B139" s="267">
        <f t="shared" si="22"/>
        <v>0</v>
      </c>
      <c r="C139" s="267">
        <f t="shared" si="22"/>
        <v>0</v>
      </c>
      <c r="D139" s="267">
        <f t="shared" si="22"/>
        <v>0</v>
      </c>
      <c r="E139" s="267">
        <f t="shared" si="22"/>
        <v>0</v>
      </c>
      <c r="F139" s="267">
        <f t="shared" si="22"/>
        <v>0</v>
      </c>
      <c r="G139" s="267">
        <f t="shared" si="22"/>
        <v>0</v>
      </c>
      <c r="H139" s="267">
        <f t="shared" si="22"/>
        <v>0</v>
      </c>
    </row>
    <row r="140" spans="1:8" x14ac:dyDescent="0.2">
      <c r="A140" s="94">
        <f t="shared" si="20"/>
        <v>0</v>
      </c>
      <c r="B140" s="267">
        <f t="shared" ref="B140:H141" si="23">B88-(B88*$G$6)</f>
        <v>0</v>
      </c>
      <c r="C140" s="267">
        <f t="shared" si="23"/>
        <v>0</v>
      </c>
      <c r="D140" s="267">
        <f t="shared" si="23"/>
        <v>0</v>
      </c>
      <c r="E140" s="267">
        <f t="shared" si="23"/>
        <v>0</v>
      </c>
      <c r="F140" s="267">
        <f t="shared" si="23"/>
        <v>0</v>
      </c>
      <c r="G140" s="267">
        <f t="shared" si="23"/>
        <v>0</v>
      </c>
      <c r="H140" s="267">
        <f t="shared" si="23"/>
        <v>0</v>
      </c>
    </row>
    <row r="141" spans="1:8" x14ac:dyDescent="0.2">
      <c r="A141" s="94">
        <f t="shared" si="20"/>
        <v>0</v>
      </c>
      <c r="B141" s="267">
        <f t="shared" si="23"/>
        <v>0</v>
      </c>
      <c r="C141" s="267">
        <f t="shared" si="23"/>
        <v>0</v>
      </c>
      <c r="D141" s="267">
        <f t="shared" si="23"/>
        <v>0</v>
      </c>
      <c r="E141" s="267">
        <f t="shared" si="23"/>
        <v>0</v>
      </c>
      <c r="F141" s="267">
        <f t="shared" si="23"/>
        <v>0</v>
      </c>
      <c r="G141" s="267">
        <f t="shared" si="23"/>
        <v>0</v>
      </c>
      <c r="H141" s="267">
        <f t="shared" si="23"/>
        <v>0</v>
      </c>
    </row>
    <row r="142" spans="1:8" x14ac:dyDescent="0.2">
      <c r="A142" s="94"/>
      <c r="B142" s="267"/>
      <c r="C142" s="267"/>
      <c r="D142" s="267"/>
      <c r="E142" s="267"/>
      <c r="F142" s="267"/>
      <c r="G142" s="267"/>
      <c r="H142" s="267"/>
    </row>
    <row r="143" spans="1:8" x14ac:dyDescent="0.2">
      <c r="A143" s="96" t="str">
        <f t="shared" ref="A143:A161" si="24">A91</f>
        <v>Fruit  &amp; Vegetables Crop Production Details</v>
      </c>
      <c r="B143" s="267"/>
      <c r="C143" s="267"/>
      <c r="D143" s="267"/>
      <c r="E143" s="267"/>
      <c r="F143" s="267"/>
      <c r="G143" s="267"/>
      <c r="H143" s="267"/>
    </row>
    <row r="144" spans="1:8" x14ac:dyDescent="0.2">
      <c r="A144" s="94" t="str">
        <f t="shared" si="24"/>
        <v>Onion</v>
      </c>
      <c r="B144" s="267">
        <f t="shared" ref="B144:H153" si="25">B92-(B92*$G$7)</f>
        <v>0</v>
      </c>
      <c r="C144" s="267">
        <f t="shared" si="25"/>
        <v>0</v>
      </c>
      <c r="D144" s="267">
        <f t="shared" si="25"/>
        <v>0</v>
      </c>
      <c r="E144" s="267">
        <f t="shared" si="25"/>
        <v>0</v>
      </c>
      <c r="F144" s="267">
        <f t="shared" si="25"/>
        <v>0</v>
      </c>
      <c r="G144" s="267">
        <f t="shared" si="25"/>
        <v>0</v>
      </c>
      <c r="H144" s="267">
        <f t="shared" si="25"/>
        <v>0</v>
      </c>
    </row>
    <row r="145" spans="1:8" x14ac:dyDescent="0.2">
      <c r="A145" s="94" t="str">
        <f t="shared" si="24"/>
        <v>Tomato</v>
      </c>
      <c r="B145" s="267">
        <f t="shared" si="25"/>
        <v>0</v>
      </c>
      <c r="C145" s="267">
        <f t="shared" si="25"/>
        <v>0</v>
      </c>
      <c r="D145" s="267">
        <f t="shared" si="25"/>
        <v>0</v>
      </c>
      <c r="E145" s="267">
        <f t="shared" si="25"/>
        <v>0</v>
      </c>
      <c r="F145" s="267">
        <f t="shared" si="25"/>
        <v>0</v>
      </c>
      <c r="G145" s="267">
        <f t="shared" si="25"/>
        <v>0</v>
      </c>
      <c r="H145" s="267">
        <f t="shared" si="25"/>
        <v>0</v>
      </c>
    </row>
    <row r="146" spans="1:8" x14ac:dyDescent="0.2">
      <c r="A146" s="94" t="str">
        <f t="shared" si="24"/>
        <v>Okra</v>
      </c>
      <c r="B146" s="267">
        <f t="shared" si="25"/>
        <v>0</v>
      </c>
      <c r="C146" s="267">
        <f t="shared" si="25"/>
        <v>0</v>
      </c>
      <c r="D146" s="267">
        <f t="shared" si="25"/>
        <v>0</v>
      </c>
      <c r="E146" s="267">
        <f t="shared" si="25"/>
        <v>0</v>
      </c>
      <c r="F146" s="267">
        <f t="shared" si="25"/>
        <v>0</v>
      </c>
      <c r="G146" s="267">
        <f t="shared" si="25"/>
        <v>0</v>
      </c>
      <c r="H146" s="267">
        <f t="shared" si="25"/>
        <v>0</v>
      </c>
    </row>
    <row r="147" spans="1:8" x14ac:dyDescent="0.2">
      <c r="A147" s="94" t="str">
        <f t="shared" si="24"/>
        <v>Chilli</v>
      </c>
      <c r="B147" s="267">
        <f t="shared" si="25"/>
        <v>0</v>
      </c>
      <c r="C147" s="267">
        <f t="shared" si="25"/>
        <v>0</v>
      </c>
      <c r="D147" s="267">
        <f t="shared" si="25"/>
        <v>0</v>
      </c>
      <c r="E147" s="267">
        <f t="shared" si="25"/>
        <v>0</v>
      </c>
      <c r="F147" s="267">
        <f t="shared" si="25"/>
        <v>0</v>
      </c>
      <c r="G147" s="267">
        <f t="shared" si="25"/>
        <v>0</v>
      </c>
      <c r="H147" s="267">
        <f t="shared" si="25"/>
        <v>0</v>
      </c>
    </row>
    <row r="148" spans="1:8" x14ac:dyDescent="0.2">
      <c r="A148" s="94" t="str">
        <f t="shared" si="24"/>
        <v>Potato</v>
      </c>
      <c r="B148" s="267">
        <f t="shared" si="25"/>
        <v>0</v>
      </c>
      <c r="C148" s="267">
        <f t="shared" si="25"/>
        <v>0</v>
      </c>
      <c r="D148" s="267">
        <f t="shared" si="25"/>
        <v>0</v>
      </c>
      <c r="E148" s="267">
        <f t="shared" si="25"/>
        <v>0</v>
      </c>
      <c r="F148" s="267">
        <f t="shared" si="25"/>
        <v>0</v>
      </c>
      <c r="G148" s="267">
        <f t="shared" si="25"/>
        <v>0</v>
      </c>
      <c r="H148" s="267">
        <f t="shared" si="25"/>
        <v>0</v>
      </c>
    </row>
    <row r="149" spans="1:8" x14ac:dyDescent="0.2">
      <c r="A149" s="94">
        <f t="shared" si="24"/>
        <v>0</v>
      </c>
      <c r="B149" s="267">
        <f t="shared" si="25"/>
        <v>0</v>
      </c>
      <c r="C149" s="267">
        <f t="shared" si="25"/>
        <v>0</v>
      </c>
      <c r="D149" s="267">
        <f t="shared" si="25"/>
        <v>0</v>
      </c>
      <c r="E149" s="267">
        <f t="shared" si="25"/>
        <v>0</v>
      </c>
      <c r="F149" s="267">
        <f t="shared" si="25"/>
        <v>0</v>
      </c>
      <c r="G149" s="267">
        <f t="shared" si="25"/>
        <v>0</v>
      </c>
      <c r="H149" s="267">
        <f t="shared" si="25"/>
        <v>0</v>
      </c>
    </row>
    <row r="150" spans="1:8" x14ac:dyDescent="0.2">
      <c r="A150" s="94">
        <f t="shared" si="24"/>
        <v>0</v>
      </c>
      <c r="B150" s="267">
        <f t="shared" si="25"/>
        <v>0</v>
      </c>
      <c r="C150" s="267">
        <f t="shared" si="25"/>
        <v>0</v>
      </c>
      <c r="D150" s="267">
        <f t="shared" si="25"/>
        <v>0</v>
      </c>
      <c r="E150" s="267">
        <f t="shared" si="25"/>
        <v>0</v>
      </c>
      <c r="F150" s="267">
        <f t="shared" si="25"/>
        <v>0</v>
      </c>
      <c r="G150" s="267">
        <f t="shared" si="25"/>
        <v>0</v>
      </c>
      <c r="H150" s="267">
        <f t="shared" si="25"/>
        <v>0</v>
      </c>
    </row>
    <row r="151" spans="1:8" x14ac:dyDescent="0.2">
      <c r="A151" s="94">
        <f t="shared" si="24"/>
        <v>0</v>
      </c>
      <c r="B151" s="267">
        <f t="shared" si="25"/>
        <v>0</v>
      </c>
      <c r="C151" s="267">
        <f t="shared" si="25"/>
        <v>0</v>
      </c>
      <c r="D151" s="267">
        <f t="shared" si="25"/>
        <v>0</v>
      </c>
      <c r="E151" s="267">
        <f t="shared" si="25"/>
        <v>0</v>
      </c>
      <c r="F151" s="267">
        <f t="shared" si="25"/>
        <v>0</v>
      </c>
      <c r="G151" s="267">
        <f t="shared" si="25"/>
        <v>0</v>
      </c>
      <c r="H151" s="267">
        <f t="shared" si="25"/>
        <v>0</v>
      </c>
    </row>
    <row r="152" spans="1:8" x14ac:dyDescent="0.2">
      <c r="A152" s="94">
        <f t="shared" si="24"/>
        <v>0</v>
      </c>
      <c r="B152" s="267">
        <f t="shared" si="25"/>
        <v>0</v>
      </c>
      <c r="C152" s="267">
        <f t="shared" si="25"/>
        <v>0</v>
      </c>
      <c r="D152" s="267">
        <f t="shared" si="25"/>
        <v>0</v>
      </c>
      <c r="E152" s="267">
        <f t="shared" si="25"/>
        <v>0</v>
      </c>
      <c r="F152" s="267">
        <f t="shared" si="25"/>
        <v>0</v>
      </c>
      <c r="G152" s="267">
        <f t="shared" si="25"/>
        <v>0</v>
      </c>
      <c r="H152" s="267">
        <f t="shared" si="25"/>
        <v>0</v>
      </c>
    </row>
    <row r="153" spans="1:8" x14ac:dyDescent="0.2">
      <c r="A153" s="94" t="str">
        <f t="shared" si="24"/>
        <v>Onion</v>
      </c>
      <c r="B153" s="267">
        <f t="shared" si="25"/>
        <v>0</v>
      </c>
      <c r="C153" s="267">
        <f t="shared" si="25"/>
        <v>0</v>
      </c>
      <c r="D153" s="267">
        <f t="shared" si="25"/>
        <v>0</v>
      </c>
      <c r="E153" s="267">
        <f t="shared" si="25"/>
        <v>0</v>
      </c>
      <c r="F153" s="267">
        <f t="shared" si="25"/>
        <v>0</v>
      </c>
      <c r="G153" s="267">
        <f t="shared" si="25"/>
        <v>0</v>
      </c>
      <c r="H153" s="267">
        <f t="shared" si="25"/>
        <v>0</v>
      </c>
    </row>
    <row r="154" spans="1:8" x14ac:dyDescent="0.2">
      <c r="A154" s="94" t="str">
        <f t="shared" si="24"/>
        <v>Tomato</v>
      </c>
      <c r="B154" s="267">
        <f t="shared" ref="B154:H161" si="26">B102-(B102*$G$7)</f>
        <v>0</v>
      </c>
      <c r="C154" s="267">
        <f t="shared" si="26"/>
        <v>0</v>
      </c>
      <c r="D154" s="267">
        <f t="shared" si="26"/>
        <v>0</v>
      </c>
      <c r="E154" s="267">
        <f t="shared" si="26"/>
        <v>0</v>
      </c>
      <c r="F154" s="267">
        <f t="shared" si="26"/>
        <v>0</v>
      </c>
      <c r="G154" s="267">
        <f t="shared" si="26"/>
        <v>0</v>
      </c>
      <c r="H154" s="267">
        <f t="shared" si="26"/>
        <v>0</v>
      </c>
    </row>
    <row r="155" spans="1:8" x14ac:dyDescent="0.2">
      <c r="A155" s="94" t="str">
        <f t="shared" si="24"/>
        <v>Okra</v>
      </c>
      <c r="B155" s="267">
        <f t="shared" si="26"/>
        <v>0</v>
      </c>
      <c r="C155" s="267">
        <f t="shared" si="26"/>
        <v>0</v>
      </c>
      <c r="D155" s="267">
        <f t="shared" si="26"/>
        <v>0</v>
      </c>
      <c r="E155" s="267">
        <f t="shared" si="26"/>
        <v>0</v>
      </c>
      <c r="F155" s="267">
        <f t="shared" si="26"/>
        <v>0</v>
      </c>
      <c r="G155" s="267">
        <f t="shared" si="26"/>
        <v>0</v>
      </c>
      <c r="H155" s="267">
        <f t="shared" si="26"/>
        <v>0</v>
      </c>
    </row>
    <row r="156" spans="1:8" x14ac:dyDescent="0.2">
      <c r="A156" s="94" t="str">
        <f t="shared" si="24"/>
        <v>Chilli</v>
      </c>
      <c r="B156" s="267">
        <f t="shared" si="26"/>
        <v>0</v>
      </c>
      <c r="C156" s="267">
        <f t="shared" si="26"/>
        <v>0</v>
      </c>
      <c r="D156" s="267">
        <f t="shared" si="26"/>
        <v>0</v>
      </c>
      <c r="E156" s="267">
        <f t="shared" si="26"/>
        <v>0</v>
      </c>
      <c r="F156" s="267">
        <f t="shared" si="26"/>
        <v>0</v>
      </c>
      <c r="G156" s="267">
        <f t="shared" si="26"/>
        <v>0</v>
      </c>
      <c r="H156" s="267">
        <f t="shared" si="26"/>
        <v>0</v>
      </c>
    </row>
    <row r="157" spans="1:8" x14ac:dyDescent="0.2">
      <c r="A157" s="94" t="str">
        <f t="shared" si="24"/>
        <v>Brinjal</v>
      </c>
      <c r="B157" s="267">
        <f t="shared" si="26"/>
        <v>0</v>
      </c>
      <c r="C157" s="267">
        <f t="shared" si="26"/>
        <v>0</v>
      </c>
      <c r="D157" s="267">
        <f t="shared" si="26"/>
        <v>0</v>
      </c>
      <c r="E157" s="267">
        <f t="shared" si="26"/>
        <v>0</v>
      </c>
      <c r="F157" s="267">
        <f t="shared" si="26"/>
        <v>0</v>
      </c>
      <c r="G157" s="267">
        <f t="shared" si="26"/>
        <v>0</v>
      </c>
      <c r="H157" s="267">
        <f t="shared" si="26"/>
        <v>0</v>
      </c>
    </row>
    <row r="158" spans="1:8" x14ac:dyDescent="0.2">
      <c r="A158" s="94">
        <f t="shared" si="24"/>
        <v>0</v>
      </c>
      <c r="B158" s="267">
        <f t="shared" si="26"/>
        <v>0</v>
      </c>
      <c r="C158" s="267">
        <f t="shared" si="26"/>
        <v>0</v>
      </c>
      <c r="D158" s="267">
        <f t="shared" si="26"/>
        <v>0</v>
      </c>
      <c r="E158" s="267">
        <f t="shared" si="26"/>
        <v>0</v>
      </c>
      <c r="F158" s="267">
        <f t="shared" si="26"/>
        <v>0</v>
      </c>
      <c r="G158" s="267">
        <f t="shared" si="26"/>
        <v>0</v>
      </c>
      <c r="H158" s="267">
        <f t="shared" si="26"/>
        <v>0</v>
      </c>
    </row>
    <row r="159" spans="1:8" x14ac:dyDescent="0.2">
      <c r="A159" s="94">
        <f t="shared" si="24"/>
        <v>0</v>
      </c>
      <c r="B159" s="267">
        <f t="shared" si="26"/>
        <v>0</v>
      </c>
      <c r="C159" s="267">
        <f t="shared" si="26"/>
        <v>0</v>
      </c>
      <c r="D159" s="267">
        <f t="shared" si="26"/>
        <v>0</v>
      </c>
      <c r="E159" s="267">
        <f t="shared" si="26"/>
        <v>0</v>
      </c>
      <c r="F159" s="267">
        <f t="shared" si="26"/>
        <v>0</v>
      </c>
      <c r="G159" s="267">
        <f t="shared" si="26"/>
        <v>0</v>
      </c>
      <c r="H159" s="267">
        <f t="shared" si="26"/>
        <v>0</v>
      </c>
    </row>
    <row r="160" spans="1:8" x14ac:dyDescent="0.2">
      <c r="A160" s="94">
        <f t="shared" si="24"/>
        <v>0</v>
      </c>
      <c r="B160" s="267">
        <f t="shared" si="26"/>
        <v>0</v>
      </c>
      <c r="C160" s="267">
        <f t="shared" si="26"/>
        <v>0</v>
      </c>
      <c r="D160" s="267">
        <f t="shared" si="26"/>
        <v>0</v>
      </c>
      <c r="E160" s="267">
        <f t="shared" si="26"/>
        <v>0</v>
      </c>
      <c r="F160" s="267">
        <f t="shared" si="26"/>
        <v>0</v>
      </c>
      <c r="G160" s="267">
        <f t="shared" si="26"/>
        <v>0</v>
      </c>
      <c r="H160" s="267">
        <f t="shared" si="26"/>
        <v>0</v>
      </c>
    </row>
    <row r="161" spans="1:20" x14ac:dyDescent="0.2">
      <c r="A161" s="94">
        <f t="shared" si="24"/>
        <v>0</v>
      </c>
      <c r="B161" s="267">
        <f t="shared" si="26"/>
        <v>0</v>
      </c>
      <c r="C161" s="267">
        <f t="shared" si="26"/>
        <v>0</v>
      </c>
      <c r="D161" s="267">
        <f t="shared" si="26"/>
        <v>0</v>
      </c>
      <c r="E161" s="267">
        <f t="shared" si="26"/>
        <v>0</v>
      </c>
      <c r="F161" s="267">
        <f t="shared" si="26"/>
        <v>0</v>
      </c>
      <c r="G161" s="267">
        <f t="shared" si="26"/>
        <v>0</v>
      </c>
      <c r="H161" s="267">
        <f t="shared" si="26"/>
        <v>0</v>
      </c>
    </row>
    <row r="162" spans="1:20" x14ac:dyDescent="0.2">
      <c r="A162" s="94">
        <f t="shared" ref="A162:A165" si="27">A110</f>
        <v>0</v>
      </c>
      <c r="B162" s="267">
        <f t="shared" ref="B162:H162" si="28">B110-(B110*$G$7)</f>
        <v>0</v>
      </c>
      <c r="C162" s="267">
        <f t="shared" si="28"/>
        <v>0</v>
      </c>
      <c r="D162" s="267">
        <f t="shared" si="28"/>
        <v>0</v>
      </c>
      <c r="E162" s="267">
        <f t="shared" si="28"/>
        <v>0</v>
      </c>
      <c r="F162" s="267">
        <f t="shared" si="28"/>
        <v>0</v>
      </c>
      <c r="G162" s="267">
        <f t="shared" si="28"/>
        <v>0</v>
      </c>
      <c r="H162" s="267">
        <f t="shared" si="28"/>
        <v>0</v>
      </c>
    </row>
    <row r="163" spans="1:20" x14ac:dyDescent="0.2">
      <c r="A163" s="94">
        <f t="shared" si="27"/>
        <v>0</v>
      </c>
      <c r="B163" s="267">
        <f t="shared" ref="B163:H163" si="29">B111-(B111*$G$7)</f>
        <v>0</v>
      </c>
      <c r="C163" s="267">
        <f t="shared" si="29"/>
        <v>0</v>
      </c>
      <c r="D163" s="267">
        <f t="shared" si="29"/>
        <v>0</v>
      </c>
      <c r="E163" s="267">
        <f t="shared" si="29"/>
        <v>0</v>
      </c>
      <c r="F163" s="267">
        <f t="shared" si="29"/>
        <v>0</v>
      </c>
      <c r="G163" s="267">
        <f t="shared" si="29"/>
        <v>0</v>
      </c>
      <c r="H163" s="267">
        <f t="shared" si="29"/>
        <v>0</v>
      </c>
    </row>
    <row r="164" spans="1:20" x14ac:dyDescent="0.2">
      <c r="A164" s="94">
        <f t="shared" si="27"/>
        <v>0</v>
      </c>
      <c r="B164" s="267">
        <f t="shared" ref="B164:H165" si="30">B112-(B112*$G$7)</f>
        <v>0</v>
      </c>
      <c r="C164" s="267">
        <f t="shared" si="30"/>
        <v>0</v>
      </c>
      <c r="D164" s="267">
        <f t="shared" si="30"/>
        <v>0</v>
      </c>
      <c r="E164" s="267">
        <f t="shared" si="30"/>
        <v>0</v>
      </c>
      <c r="F164" s="267">
        <f t="shared" si="30"/>
        <v>0</v>
      </c>
      <c r="G164" s="267">
        <f t="shared" si="30"/>
        <v>0</v>
      </c>
      <c r="H164" s="267">
        <f t="shared" si="30"/>
        <v>0</v>
      </c>
    </row>
    <row r="165" spans="1:20" x14ac:dyDescent="0.2">
      <c r="A165" s="94" t="str">
        <f t="shared" si="27"/>
        <v>Pomegranate</v>
      </c>
      <c r="B165" s="267">
        <f t="shared" si="30"/>
        <v>0</v>
      </c>
      <c r="C165" s="267">
        <f t="shared" ref="C165:H168" si="31">C113-(C113*$G$7)</f>
        <v>0</v>
      </c>
      <c r="D165" s="267">
        <f t="shared" si="31"/>
        <v>0</v>
      </c>
      <c r="E165" s="267">
        <f t="shared" si="31"/>
        <v>0</v>
      </c>
      <c r="F165" s="267">
        <f t="shared" si="31"/>
        <v>0</v>
      </c>
      <c r="G165" s="267">
        <f t="shared" si="31"/>
        <v>0</v>
      </c>
      <c r="H165" s="267">
        <f t="shared" si="31"/>
        <v>0</v>
      </c>
    </row>
    <row r="166" spans="1:20" x14ac:dyDescent="0.2">
      <c r="A166" s="94" t="str">
        <f>A114</f>
        <v>Custard Apple</v>
      </c>
      <c r="B166" s="267">
        <f>B114-(B114*$G$7)</f>
        <v>0</v>
      </c>
      <c r="C166" s="267">
        <f t="shared" si="31"/>
        <v>0</v>
      </c>
      <c r="D166" s="267">
        <f t="shared" si="31"/>
        <v>0</v>
      </c>
      <c r="E166" s="267">
        <f t="shared" si="31"/>
        <v>0</v>
      </c>
      <c r="F166" s="267">
        <f t="shared" si="31"/>
        <v>0</v>
      </c>
      <c r="G166" s="267">
        <f t="shared" si="31"/>
        <v>0</v>
      </c>
      <c r="H166" s="267">
        <f t="shared" si="31"/>
        <v>0</v>
      </c>
    </row>
    <row r="167" spans="1:20" x14ac:dyDescent="0.2">
      <c r="A167" s="94" t="str">
        <f>A115</f>
        <v>Guava</v>
      </c>
      <c r="B167" s="267">
        <f>B115-(B115*$G$7)</f>
        <v>0</v>
      </c>
      <c r="C167" s="267">
        <f t="shared" si="31"/>
        <v>0</v>
      </c>
      <c r="D167" s="267">
        <f t="shared" si="31"/>
        <v>0</v>
      </c>
      <c r="E167" s="267">
        <f t="shared" si="31"/>
        <v>0</v>
      </c>
      <c r="F167" s="267">
        <f t="shared" si="31"/>
        <v>0</v>
      </c>
      <c r="G167" s="267">
        <f t="shared" si="31"/>
        <v>0</v>
      </c>
      <c r="H167" s="267">
        <f t="shared" si="31"/>
        <v>0</v>
      </c>
    </row>
    <row r="168" spans="1:20" x14ac:dyDescent="0.2">
      <c r="A168" s="94" t="str">
        <f>A116</f>
        <v>Citrus</v>
      </c>
      <c r="B168" s="267">
        <f>B116-(B116*$G$7)</f>
        <v>0</v>
      </c>
      <c r="C168" s="267">
        <f t="shared" si="31"/>
        <v>0</v>
      </c>
      <c r="D168" s="267">
        <f t="shared" si="31"/>
        <v>0</v>
      </c>
      <c r="E168" s="267">
        <f t="shared" si="31"/>
        <v>0</v>
      </c>
      <c r="F168" s="267">
        <f t="shared" si="31"/>
        <v>0</v>
      </c>
      <c r="G168" s="267">
        <f t="shared" si="31"/>
        <v>0</v>
      </c>
      <c r="H168" s="267">
        <f t="shared" si="31"/>
        <v>0</v>
      </c>
    </row>
    <row r="169" spans="1:20" x14ac:dyDescent="0.2">
      <c r="A169" s="181"/>
    </row>
    <row r="170" spans="1:20" ht="18" x14ac:dyDescent="0.2">
      <c r="A170" s="451" t="s">
        <v>582</v>
      </c>
      <c r="B170" s="451"/>
      <c r="C170" s="451"/>
      <c r="D170" s="451"/>
      <c r="E170" s="451"/>
      <c r="F170" s="451"/>
      <c r="G170" s="451"/>
      <c r="H170" s="451"/>
      <c r="I170" s="451"/>
      <c r="J170" s="451"/>
    </row>
    <row r="171" spans="1:20" x14ac:dyDescent="0.2">
      <c r="A171" s="15"/>
      <c r="B171" s="15"/>
      <c r="C171" s="15"/>
      <c r="D171" s="15"/>
      <c r="E171" s="15"/>
      <c r="F171" s="15"/>
      <c r="G171" s="15"/>
      <c r="H171" s="15"/>
    </row>
    <row r="172" spans="1:20" x14ac:dyDescent="0.2">
      <c r="A172" s="191"/>
      <c r="B172" s="191"/>
      <c r="C172" s="191"/>
      <c r="D172" s="192">
        <v>1</v>
      </c>
      <c r="E172" s="193">
        <f>(D172*5%)+D172</f>
        <v>1.05</v>
      </c>
      <c r="F172" s="193">
        <f t="shared" ref="F172:J172" si="32">(E172*5%)+E172</f>
        <v>1.1025</v>
      </c>
      <c r="G172" s="193">
        <f t="shared" si="32"/>
        <v>1.1576250000000001</v>
      </c>
      <c r="H172" s="193">
        <f t="shared" si="32"/>
        <v>1.2155062500000002</v>
      </c>
      <c r="I172" s="193">
        <f t="shared" si="32"/>
        <v>1.2762815625000004</v>
      </c>
      <c r="J172" s="193">
        <f t="shared" si="32"/>
        <v>1.3400956406250004</v>
      </c>
      <c r="K172" s="89"/>
      <c r="L172" s="89"/>
      <c r="M172" s="89"/>
      <c r="N172" s="89"/>
      <c r="O172" s="89"/>
      <c r="P172" s="89"/>
      <c r="Q172" s="89"/>
      <c r="R172" s="89"/>
      <c r="S172" s="89"/>
      <c r="T172" s="89"/>
    </row>
    <row r="173" spans="1:20" x14ac:dyDescent="0.2">
      <c r="A173" s="89"/>
      <c r="B173" s="89"/>
      <c r="C173" s="89"/>
      <c r="D173" s="89"/>
      <c r="E173" s="89"/>
      <c r="F173" s="89"/>
      <c r="G173" s="89"/>
      <c r="H173" s="89"/>
      <c r="I173" s="89"/>
      <c r="J173" s="89"/>
      <c r="K173" s="89"/>
      <c r="L173" s="89"/>
      <c r="M173" s="89"/>
      <c r="N173" s="89"/>
      <c r="O173" s="89"/>
      <c r="P173" s="89"/>
      <c r="Q173" s="89"/>
      <c r="R173" s="89"/>
      <c r="S173" s="89"/>
      <c r="T173" s="89"/>
    </row>
    <row r="174" spans="1:20" x14ac:dyDescent="0.2">
      <c r="A174" s="89"/>
      <c r="B174" s="89"/>
      <c r="C174" s="89"/>
      <c r="D174" s="173"/>
      <c r="E174" s="173"/>
      <c r="F174" s="173"/>
      <c r="G174" s="173"/>
      <c r="H174" s="173"/>
      <c r="I174" s="173"/>
      <c r="J174" s="173"/>
      <c r="K174" s="89"/>
      <c r="L174" s="89"/>
    </row>
    <row r="175" spans="1:20" x14ac:dyDescent="0.2">
      <c r="A175" s="77" t="s">
        <v>0</v>
      </c>
      <c r="B175" s="77"/>
      <c r="C175" s="77" t="s">
        <v>153</v>
      </c>
      <c r="D175" s="78" t="s">
        <v>2</v>
      </c>
      <c r="E175" s="78" t="s">
        <v>3</v>
      </c>
      <c r="F175" s="78" t="s">
        <v>4</v>
      </c>
      <c r="G175" s="78" t="s">
        <v>5</v>
      </c>
      <c r="H175" s="78" t="s">
        <v>6</v>
      </c>
      <c r="I175" s="78" t="s">
        <v>170</v>
      </c>
      <c r="J175" s="78" t="s">
        <v>169</v>
      </c>
      <c r="K175" s="89"/>
      <c r="L175" s="89"/>
    </row>
    <row r="176" spans="1:20" x14ac:dyDescent="0.2">
      <c r="A176" s="92"/>
      <c r="B176" s="92"/>
      <c r="C176" s="92"/>
      <c r="D176" s="90"/>
      <c r="E176" s="90"/>
      <c r="F176" s="90"/>
      <c r="G176" s="90"/>
      <c r="H176" s="90"/>
      <c r="I176" s="90"/>
      <c r="J176" s="90"/>
      <c r="K176" s="89"/>
      <c r="L176" s="89"/>
    </row>
    <row r="177" spans="1:12" x14ac:dyDescent="0.2">
      <c r="A177" s="92" t="s">
        <v>126</v>
      </c>
      <c r="B177" s="92"/>
      <c r="C177" s="92"/>
      <c r="D177" s="90"/>
      <c r="E177" s="90"/>
      <c r="F177" s="90"/>
      <c r="G177" s="90"/>
      <c r="H177" s="90"/>
      <c r="I177" s="90"/>
      <c r="J177" s="90"/>
      <c r="K177" s="89"/>
      <c r="L177" s="89"/>
    </row>
    <row r="178" spans="1:12" x14ac:dyDescent="0.2">
      <c r="A178" s="90" t="str">
        <f t="shared" ref="A178:A198" si="33">A120</f>
        <v>Soybean</v>
      </c>
      <c r="B178" s="387" t="s">
        <v>363</v>
      </c>
      <c r="C178" s="406">
        <v>6700</v>
      </c>
      <c r="D178" s="194">
        <f>(B120*(1-'5.Closing Stock &amp; W Capital'!$D$16))*C$178*D172</f>
        <v>7252334.7876000004</v>
      </c>
      <c r="E178" s="194">
        <f>((C120*(1-'5.Closing Stock &amp; W Capital'!$D$16))+(B120*'5.Closing Stock &amp; W Capital'!$D$16))*$C178*E$172</f>
        <v>9674096.5827450007</v>
      </c>
      <c r="F178" s="194">
        <f>((D120*(1-'5.Closing Stock &amp; W Capital'!$D$16))+(C120*'5.Closing Stock &amp; W Capital'!$D$16))*$C178*F$172</f>
        <v>12197520.57089475</v>
      </c>
      <c r="G178" s="194">
        <f>((E120*(1-'5.Closing Stock &amp; W Capital'!$D$16))+(D120*'5.Closing Stock &amp; W Capital'!$D$16))*$C178*G$172</f>
        <v>14949101.716402614</v>
      </c>
      <c r="H178" s="194">
        <f>((F120*(1-'5.Closing Stock &amp; W Capital'!$D$16))+(E120*'5.Closing Stock &amp; W Capital'!$D$16))*$C178*H$172</f>
        <v>17945347.175034024</v>
      </c>
      <c r="I178" s="194">
        <f>((G120*(1-'5.Closing Stock &amp; W Capital'!$D$16))+(F120*'5.Closing Stock &amp; W Capital'!$D$16))*$C178*I$172</f>
        <v>21203844.425237577</v>
      </c>
      <c r="J178" s="194">
        <f>((H120*(1-'5.Closing Stock &amp; W Capital'!$D$16))+(G120*'5.Closing Stock &amp; W Capital'!$D$16))*$C178*J$172</f>
        <v>24743328.032523889</v>
      </c>
      <c r="K178" s="89"/>
      <c r="L178" s="89"/>
    </row>
    <row r="179" spans="1:12" x14ac:dyDescent="0.2">
      <c r="A179" s="90" t="str">
        <f t="shared" si="33"/>
        <v>Red Gram/Tur</v>
      </c>
      <c r="B179" s="387" t="s">
        <v>363</v>
      </c>
      <c r="C179" s="406">
        <v>6800</v>
      </c>
      <c r="D179" s="194">
        <f>(B121*(1-'5.Closing Stock &amp; W Capital'!$D$16))*$C179*D$172</f>
        <v>24973391.646000002</v>
      </c>
      <c r="E179" s="194">
        <f>((C121*(1-'5.Closing Stock &amp; W Capital'!$D$16))+(B121*'5.Closing Stock &amp; W Capital'!$D$16))*$C179*E$172</f>
        <v>33312720.642075002</v>
      </c>
      <c r="F179" s="194">
        <f>((D121*(1-'5.Closing Stock &amp; W Capital'!$D$16))+(C121*'5.Closing Stock &amp; W Capital'!$D$16))*$C179*F$172</f>
        <v>42002123.074616253</v>
      </c>
      <c r="G179" s="194">
        <f>((E121*(1-'5.Closing Stock &amp; W Capital'!$D$16))+(D121*'5.Closing Stock &amp; W Capital'!$D$16))*$C179*G$172</f>
        <v>51477183.948806427</v>
      </c>
      <c r="H179" s="194">
        <f>((F121*(1-'5.Closing Stock &amp; W Capital'!$D$16))+(E121*'5.Closing Stock &amp; W Capital'!$D$16))*$C179*H$172</f>
        <v>61794745.602729119</v>
      </c>
      <c r="I179" s="194">
        <f>((G121*(1-'5.Closing Stock &amp; W Capital'!$D$16))+(F121*'5.Closing Stock &amp; W Capital'!$D$16))*$C179*I$172</f>
        <v>73015370.462172031</v>
      </c>
      <c r="J179" s="194">
        <f>((H121*(1-'5.Closing Stock &amp; W Capital'!$D$16))+(G121*'5.Closing Stock &amp; W Capital'!$D$16))*$C179*J$172</f>
        <v>85203570.94355242</v>
      </c>
      <c r="K179" s="89"/>
      <c r="L179" s="89"/>
    </row>
    <row r="180" spans="1:12" x14ac:dyDescent="0.2">
      <c r="A180" s="90" t="str">
        <f t="shared" si="33"/>
        <v>Paddy/Rice</v>
      </c>
      <c r="B180" s="387" t="s">
        <v>363</v>
      </c>
      <c r="C180" s="406"/>
      <c r="D180" s="194">
        <f>(B122*(1-'5.Closing Stock &amp; W Capital'!$D$16))*$C180*D$172</f>
        <v>0</v>
      </c>
      <c r="E180" s="194">
        <f>((C122*(1-'5.Closing Stock &amp; W Capital'!$D$16))+(B122*'5.Closing Stock &amp; W Capital'!$D$16))*$C180*E$172</f>
        <v>0</v>
      </c>
      <c r="F180" s="194">
        <f>((D122*(1-'5.Closing Stock &amp; W Capital'!$D$16))+(C122*'5.Closing Stock &amp; W Capital'!$D$16))*$C180*F$172</f>
        <v>0</v>
      </c>
      <c r="G180" s="194">
        <f>((E122*(1-'5.Closing Stock &amp; W Capital'!$D$16))+(D122*'5.Closing Stock &amp; W Capital'!$D$16))*$C180*G$172</f>
        <v>0</v>
      </c>
      <c r="H180" s="194">
        <f>((F122*(1-'5.Closing Stock &amp; W Capital'!$D$16))+(E122*'5.Closing Stock &amp; W Capital'!$D$16))*$C180*H$172</f>
        <v>0</v>
      </c>
      <c r="I180" s="194">
        <f>((G122*(1-'5.Closing Stock &amp; W Capital'!$D$16))+(F122*'5.Closing Stock &amp; W Capital'!$D$16))*$C180*I$172</f>
        <v>0</v>
      </c>
      <c r="J180" s="194">
        <f>((H122*(1-'5.Closing Stock &amp; W Capital'!$D$16))+(G122*'5.Closing Stock &amp; W Capital'!$D$16))*$C180*J$172</f>
        <v>0</v>
      </c>
      <c r="K180" s="89"/>
      <c r="L180" s="89"/>
    </row>
    <row r="181" spans="1:12" x14ac:dyDescent="0.2">
      <c r="A181" s="90" t="str">
        <f t="shared" si="33"/>
        <v>Green Gram/ Moong</v>
      </c>
      <c r="B181" s="387" t="s">
        <v>363</v>
      </c>
      <c r="C181" s="406">
        <v>7300</v>
      </c>
      <c r="D181" s="194">
        <f>(B123*(1-'5.Closing Stock &amp; W Capital'!$D$16))*$C181*D$172</f>
        <v>7682303.2264999989</v>
      </c>
      <c r="E181" s="194">
        <f>((C123*(1-'5.Closing Stock &amp; W Capital'!$D$16))+(B123*'5.Closing Stock &amp; W Capital'!$D$16))*$C181*E$172</f>
        <v>10247643.76820625</v>
      </c>
      <c r="F181" s="194">
        <f>((D123*(1-'5.Closing Stock &amp; W Capital'!$D$16))+(C123*'5.Closing Stock &amp; W Capital'!$D$16))*$C181*F$172</f>
        <v>12920673.739069687</v>
      </c>
      <c r="G181" s="194">
        <f>((E123*(1-'5.Closing Stock &amp; W Capital'!$D$16))+(D123*'5.Closing Stock &amp; W Capital'!$D$16))*$C181*G$172</f>
        <v>15835387.597598953</v>
      </c>
      <c r="H181" s="194">
        <f>((F123*(1-'5.Closing Stock &amp; W Capital'!$D$16))+(E123*'5.Closing Stock &amp; W Capital'!$D$16))*$C181*H$172</f>
        <v>19009271.157633469</v>
      </c>
      <c r="I181" s="194">
        <f>((G123*(1-'5.Closing Stock &amp; W Capital'!$D$16))+(F123*'5.Closing Stock &amp; W Capital'!$D$16))*$C181*I$172</f>
        <v>22460954.60467745</v>
      </c>
      <c r="J181" s="194">
        <f>((H123*(1-'5.Closing Stock &amp; W Capital'!$D$16))+(G123*'5.Closing Stock &amp; W Capital'!$D$16))*$C181*J$172</f>
        <v>26210283.218531732</v>
      </c>
      <c r="K181" s="89"/>
      <c r="L181" s="89"/>
    </row>
    <row r="182" spans="1:12" x14ac:dyDescent="0.2">
      <c r="A182" s="90" t="str">
        <f t="shared" si="33"/>
        <v>Maize</v>
      </c>
      <c r="B182" s="387" t="s">
        <v>363</v>
      </c>
      <c r="C182" s="406"/>
      <c r="D182" s="194">
        <f>(B124*(1-'5.Closing Stock &amp; W Capital'!$D$16))*$C182*D$172</f>
        <v>0</v>
      </c>
      <c r="E182" s="194">
        <f>((C124*(1-'5.Closing Stock &amp; W Capital'!$D$16))+(B124*'5.Closing Stock &amp; W Capital'!$D$16))*$C182*E$172</f>
        <v>0</v>
      </c>
      <c r="F182" s="194">
        <f>((D124*(1-'5.Closing Stock &amp; W Capital'!$D$16))+(C124*'5.Closing Stock &amp; W Capital'!$D$16))*$C182*F$172</f>
        <v>0</v>
      </c>
      <c r="G182" s="194">
        <f>((E124*(1-'5.Closing Stock &amp; W Capital'!$D$16))+(D124*'5.Closing Stock &amp; W Capital'!$D$16))*$C182*G$172</f>
        <v>0</v>
      </c>
      <c r="H182" s="194">
        <f>((F124*(1-'5.Closing Stock &amp; W Capital'!$D$16))+(E124*'5.Closing Stock &amp; W Capital'!$D$16))*$C182*H$172</f>
        <v>0</v>
      </c>
      <c r="I182" s="194">
        <f>((G124*(1-'5.Closing Stock &amp; W Capital'!$D$16))+(F124*'5.Closing Stock &amp; W Capital'!$D$16))*$C182*I$172</f>
        <v>0</v>
      </c>
      <c r="J182" s="194">
        <f>((H124*(1-'5.Closing Stock &amp; W Capital'!$D$16))+(G124*'5.Closing Stock &amp; W Capital'!$D$16))*$C182*J$172</f>
        <v>0</v>
      </c>
      <c r="K182" s="89"/>
      <c r="L182" s="89"/>
    </row>
    <row r="183" spans="1:12" x14ac:dyDescent="0.2">
      <c r="A183" s="90" t="str">
        <f t="shared" si="33"/>
        <v>Black Gram/Udid</v>
      </c>
      <c r="B183" s="387" t="s">
        <v>363</v>
      </c>
      <c r="C183" s="406">
        <v>7500</v>
      </c>
      <c r="D183" s="194">
        <f>(B125*(1-'5.Closing Stock &amp; W Capital'!$D$16))*$C183*D$172</f>
        <v>579877.5149999999</v>
      </c>
      <c r="E183" s="194">
        <f>((C125*(1-'5.Closing Stock &amp; W Capital'!$D$16))+(B125*'5.Closing Stock &amp; W Capital'!$D$16))*$C183*E$172</f>
        <v>773515.18518749997</v>
      </c>
      <c r="F183" s="194">
        <f>((D125*(1-'5.Closing Stock &amp; W Capital'!$D$16))+(C125*'5.Closing Stock &amp; W Capital'!$D$16))*$C183*F$172</f>
        <v>975281.49554062495</v>
      </c>
      <c r="G183" s="194">
        <f>((E125*(1-'5.Closing Stock &amp; W Capital'!$D$16))+(D125*'5.Closing Stock &amp; W Capital'!$D$16))*$C183*G$172</f>
        <v>1195290.6489660938</v>
      </c>
      <c r="H183" s="194">
        <f>((F125*(1-'5.Closing Stock &amp; W Capital'!$D$16))+(E125*'5.Closing Stock &amp; W Capital'!$D$16))*$C183*H$172</f>
        <v>1434862.5139952579</v>
      </c>
      <c r="I183" s="194">
        <f>((G125*(1-'5.Closing Stock &amp; W Capital'!$D$16))+(F125*'5.Closing Stock &amp; W Capital'!$D$16))*$C183*I$172</f>
        <v>1695403.3389049235</v>
      </c>
      <c r="J183" s="194">
        <f>((H125*(1-'5.Closing Stock &amp; W Capital'!$D$16))+(G125*'5.Closing Stock &amp; W Capital'!$D$16))*$C183*J$172</f>
        <v>1978411.0900205672</v>
      </c>
      <c r="K183" s="89"/>
      <c r="L183" s="89"/>
    </row>
    <row r="184" spans="1:12" x14ac:dyDescent="0.2">
      <c r="A184" s="90" t="str">
        <f t="shared" si="33"/>
        <v>Bajra</v>
      </c>
      <c r="B184" s="387" t="s">
        <v>363</v>
      </c>
      <c r="C184" s="406">
        <v>2200</v>
      </c>
      <c r="D184" s="194">
        <f>(B126*(1-'5.Closing Stock &amp; W Capital'!$D$16))*$C184*D$172</f>
        <v>185217.17368000001</v>
      </c>
      <c r="E184" s="194">
        <f>((C126*(1-'5.Closing Stock &amp; W Capital'!$D$16))+(B126*'5.Closing Stock &amp; W Capital'!$D$16))*$C184*E$172</f>
        <v>247066.47989100002</v>
      </c>
      <c r="F184" s="194">
        <f>((D126*(1-'5.Closing Stock &amp; W Capital'!$D$16))+(C126*'5.Closing Stock &amp; W Capital'!$D$16))*$C184*F$172</f>
        <v>311512.13398304995</v>
      </c>
      <c r="G184" s="194">
        <f>((E126*(1-'5.Closing Stock &amp; W Capital'!$D$16))+(D126*'5.Closing Stock &amp; W Capital'!$D$16))*$C184*G$172</f>
        <v>381784.68728457752</v>
      </c>
      <c r="H184" s="194">
        <f>((F126*(1-'5.Closing Stock &amp; W Capital'!$D$16))+(E126*'5.Closing Stock &amp; W Capital'!$D$16))*$C184*H$172</f>
        <v>458305.71558130014</v>
      </c>
      <c r="I184" s="194">
        <f>((G126*(1-'5.Closing Stock &amp; W Capital'!$D$16))+(F126*'5.Closing Stock &amp; W Capital'!$D$16))*$C184*I$172</f>
        <v>541524.38498948363</v>
      </c>
      <c r="J184" s="194">
        <f>((H126*(1-'5.Closing Stock &amp; W Capital'!$D$16))+(G126*'5.Closing Stock &amp; W Capital'!$D$16))*$C184*J$172</f>
        <v>631919.15704953216</v>
      </c>
      <c r="K184" s="89"/>
      <c r="L184" s="89"/>
    </row>
    <row r="185" spans="1:12" x14ac:dyDescent="0.2">
      <c r="A185" s="90" t="str">
        <f t="shared" si="33"/>
        <v>Jawar</v>
      </c>
      <c r="B185" s="387" t="s">
        <v>363</v>
      </c>
      <c r="C185" s="406"/>
      <c r="D185" s="194">
        <f>(B127*(1-'5.Closing Stock &amp; W Capital'!$D$16))*$C185*D$172</f>
        <v>0</v>
      </c>
      <c r="E185" s="194">
        <f>((C127*(1-'5.Closing Stock &amp; W Capital'!$D$16))+(B127*'5.Closing Stock &amp; W Capital'!$D$16))*$C185*E$172</f>
        <v>0</v>
      </c>
      <c r="F185" s="194">
        <f>((D127*(1-'5.Closing Stock &amp; W Capital'!$D$16))+(C127*'5.Closing Stock &amp; W Capital'!$D$16))*$C185*F$172</f>
        <v>0</v>
      </c>
      <c r="G185" s="194">
        <f>((E127*(1-'5.Closing Stock &amp; W Capital'!$D$16))+(D127*'5.Closing Stock &amp; W Capital'!$D$16))*$C185*G$172</f>
        <v>0</v>
      </c>
      <c r="H185" s="194">
        <f>((F127*(1-'5.Closing Stock &amp; W Capital'!$D$16))+(E127*'5.Closing Stock &amp; W Capital'!$D$16))*$C185*H$172</f>
        <v>0</v>
      </c>
      <c r="I185" s="194">
        <f>((G127*(1-'5.Closing Stock &amp; W Capital'!$D$16))+(F127*'5.Closing Stock &amp; W Capital'!$D$16))*$C185*I$172</f>
        <v>0</v>
      </c>
      <c r="J185" s="194">
        <f>((H127*(1-'5.Closing Stock &amp; W Capital'!$D$16))+(G127*'5.Closing Stock &amp; W Capital'!$D$16))*$C185*J$172</f>
        <v>0</v>
      </c>
      <c r="K185" s="89"/>
      <c r="L185" s="89"/>
    </row>
    <row r="186" spans="1:12" x14ac:dyDescent="0.2">
      <c r="A186" s="90" t="str">
        <f t="shared" si="33"/>
        <v>Sunflower</v>
      </c>
      <c r="B186" s="387" t="s">
        <v>363</v>
      </c>
      <c r="C186" s="406"/>
      <c r="D186" s="194">
        <f>(B128*(1-'5.Closing Stock &amp; W Capital'!$D$16))*$C186*D$172</f>
        <v>0</v>
      </c>
      <c r="E186" s="194">
        <f>((C128*(1-'5.Closing Stock &amp; W Capital'!$D$16))+(B128*'5.Closing Stock &amp; W Capital'!$D$16))*$C186*E$172</f>
        <v>0</v>
      </c>
      <c r="F186" s="194">
        <f>((D128*(1-'5.Closing Stock &amp; W Capital'!$D$16))+(C128*'5.Closing Stock &amp; W Capital'!$D$16))*$C186*F$172</f>
        <v>0</v>
      </c>
      <c r="G186" s="194">
        <f>((E128*(1-'5.Closing Stock &amp; W Capital'!$D$16))+(D128*'5.Closing Stock &amp; W Capital'!$D$16))*$C186*G$172</f>
        <v>0</v>
      </c>
      <c r="H186" s="194">
        <f>((F128*(1-'5.Closing Stock &amp; W Capital'!$D$16))+(E128*'5.Closing Stock &amp; W Capital'!$D$16))*$C186*H$172</f>
        <v>0</v>
      </c>
      <c r="I186" s="194">
        <f>((G128*(1-'5.Closing Stock &amp; W Capital'!$D$16))+(F128*'5.Closing Stock &amp; W Capital'!$D$16))*$C186*I$172</f>
        <v>0</v>
      </c>
      <c r="J186" s="194">
        <f>((H128*(1-'5.Closing Stock &amp; W Capital'!$D$16))+(G128*'5.Closing Stock &amp; W Capital'!$D$16))*$C186*J$172</f>
        <v>0</v>
      </c>
      <c r="K186" s="89"/>
      <c r="L186" s="89"/>
    </row>
    <row r="187" spans="1:12" x14ac:dyDescent="0.2">
      <c r="A187" s="90" t="str">
        <f t="shared" si="33"/>
        <v>Wheat</v>
      </c>
      <c r="B187" s="387" t="s">
        <v>363</v>
      </c>
      <c r="C187" s="406">
        <v>2800</v>
      </c>
      <c r="D187" s="194">
        <f>(B129*(1-'5.Closing Stock &amp; W Capital'!$D$16))*$C187*D$172</f>
        <v>5195702.5344000002</v>
      </c>
      <c r="E187" s="194">
        <f>((C129*(1-'5.Closing Stock &amp; W Capital'!$D$16))+(B129*'5.Closing Stock &amp; W Capital'!$D$16))*$C187*E$172</f>
        <v>6930696.0592800006</v>
      </c>
      <c r="F187" s="194">
        <f>((D129*(1-'5.Closing Stock &amp; W Capital'!$D$16))+(C129*'5.Closing Stock &amp; W Capital'!$D$16))*$C187*F$172</f>
        <v>8738522.2000439987</v>
      </c>
      <c r="G187" s="194">
        <f>((E129*(1-'5.Closing Stock &amp; W Capital'!$D$16))+(D129*'5.Closing Stock &amp; W Capital'!$D$16))*$C187*G$172</f>
        <v>10709804.214736201</v>
      </c>
      <c r="H187" s="194">
        <f>((F129*(1-'5.Closing Stock &amp; W Capital'!$D$16))+(E129*'5.Closing Stock &amp; W Capital'!$D$16))*$C187*H$172</f>
        <v>12856368.125397511</v>
      </c>
      <c r="I187" s="194">
        <f>((G129*(1-'5.Closing Stock &amp; W Capital'!$D$16))+(F129*'5.Closing Stock &amp; W Capital'!$D$16))*$C187*I$172</f>
        <v>15190813.916588113</v>
      </c>
      <c r="J187" s="194">
        <f>((H129*(1-'5.Closing Stock &amp; W Capital'!$D$16))+(G129*'5.Closing Stock &amp; W Capital'!$D$16))*$C187*J$172</f>
        <v>17726563.366584282</v>
      </c>
      <c r="K187" s="89"/>
      <c r="L187" s="89"/>
    </row>
    <row r="188" spans="1:12" x14ac:dyDescent="0.2">
      <c r="A188" s="90" t="str">
        <f t="shared" si="33"/>
        <v>Bengal Gram/Channa</v>
      </c>
      <c r="B188" s="387" t="s">
        <v>363</v>
      </c>
      <c r="C188" s="406">
        <v>4800</v>
      </c>
      <c r="D188" s="194">
        <f>(B130*(1-'5.Closing Stock &amp; W Capital'!$D$16))*$C188*D$172</f>
        <v>13360377.945600001</v>
      </c>
      <c r="E188" s="194">
        <f>((C130*(1-'5.Closing Stock &amp; W Capital'!$D$16))+(B130*'5.Closing Stock &amp; W Capital'!$D$16))*$C188*E$172</f>
        <v>17821789.866720006</v>
      </c>
      <c r="F188" s="194">
        <f>((D130*(1-'5.Closing Stock &amp; W Capital'!$D$16))+(C130*'5.Closing Stock &amp; W Capital'!$D$16))*$C188*F$172</f>
        <v>22470485.657256003</v>
      </c>
      <c r="G188" s="194">
        <f>((E130*(1-'5.Closing Stock &amp; W Capital'!$D$16))+(D130*'5.Closing Stock &amp; W Capital'!$D$16))*$C188*G$172</f>
        <v>27539496.552178808</v>
      </c>
      <c r="H188" s="194">
        <f>((F130*(1-'5.Closing Stock &amp; W Capital'!$D$16))+(E130*'5.Closing Stock &amp; W Capital'!$D$16))*$C188*H$172</f>
        <v>33059232.322450746</v>
      </c>
      <c r="I188" s="194">
        <f>((G130*(1-'5.Closing Stock &amp; W Capital'!$D$16))+(F130*'5.Closing Stock &amp; W Capital'!$D$16))*$C188*I$172</f>
        <v>39062092.928369448</v>
      </c>
      <c r="J188" s="194">
        <f>((H130*(1-'5.Closing Stock &amp; W Capital'!$D$16))+(G130*'5.Closing Stock &amp; W Capital'!$D$16))*$C188*J$172</f>
        <v>45582591.514073879</v>
      </c>
      <c r="K188" s="89"/>
      <c r="L188" s="89"/>
    </row>
    <row r="189" spans="1:12" x14ac:dyDescent="0.2">
      <c r="A189" s="90" t="str">
        <f t="shared" si="33"/>
        <v>Jawar</v>
      </c>
      <c r="B189" s="387" t="s">
        <v>363</v>
      </c>
      <c r="C189" s="406">
        <v>2200</v>
      </c>
      <c r="D189" s="194">
        <f>(B131*(1-'5.Closing Stock &amp; W Capital'!$D$16))*$C189*D$172</f>
        <v>4668228.7652000012</v>
      </c>
      <c r="E189" s="194">
        <f>((C131*(1-'5.Closing Stock &amp; W Capital'!$D$16))+(B131*'5.Closing Stock &amp; W Capital'!$D$16))*$C189*E$172</f>
        <v>6227083.7278649993</v>
      </c>
      <c r="F189" s="194">
        <f>((D131*(1-'5.Closing Stock &amp; W Capital'!$D$16))+(C131*'5.Closing Stock &amp; W Capital'!$D$16))*$C189*F$172</f>
        <v>7851377.2544707488</v>
      </c>
      <c r="G189" s="194">
        <f>((E131*(1-'5.Closing Stock &amp; W Capital'!$D$16))+(D131*'5.Closing Stock &amp; W Capital'!$D$16))*$C189*G$172</f>
        <v>9622532.4244174138</v>
      </c>
      <c r="H189" s="194">
        <f>((F131*(1-'5.Closing Stock &amp; W Capital'!$D$16))+(E131*'5.Closing Stock &amp; W Capital'!$D$16))*$C189*H$172</f>
        <v>11551174.668222567</v>
      </c>
      <c r="I189" s="194">
        <f>((G131*(1-'5.Closing Stock &amp; W Capital'!$D$16))+(F131*'5.Closing Stock &amp; W Capital'!$D$16))*$C189*I$172</f>
        <v>13648624.805347191</v>
      </c>
      <c r="J189" s="194">
        <f>((H131*(1-'5.Closing Stock &amp; W Capital'!$D$16))+(G131*'5.Closing Stock &amp; W Capital'!$D$16))*$C189*J$172</f>
        <v>287259.4753018507</v>
      </c>
      <c r="K189" s="89"/>
      <c r="L189" s="89"/>
    </row>
    <row r="190" spans="1:12" x14ac:dyDescent="0.2">
      <c r="A190" s="90" t="str">
        <f t="shared" si="33"/>
        <v>Maize</v>
      </c>
      <c r="B190" s="387" t="s">
        <v>363</v>
      </c>
      <c r="C190" s="406">
        <v>1600</v>
      </c>
      <c r="D190" s="194">
        <f>(B132*(1-'5.Closing Stock &amp; W Capital'!$D$16))*$C190*D$172</f>
        <v>549809.79200000002</v>
      </c>
      <c r="E190" s="194">
        <f>((C132*(1-'5.Closing Stock &amp; W Capital'!$D$16))+(B132*'5.Closing Stock &amp; W Capital'!$D$16))*$C190*E$172</f>
        <v>733406.99040000001</v>
      </c>
      <c r="F190" s="194">
        <f>((D132*(1-'5.Closing Stock &amp; W Capital'!$D$16))+(C132*'5.Closing Stock &amp; W Capital'!$D$16))*$C190*F$172</f>
        <v>924711.34392000001</v>
      </c>
      <c r="G190" s="194">
        <f>((E132*(1-'5.Closing Stock &amp; W Capital'!$D$16))+(D132*'5.Closing Stock &amp; W Capital'!$D$16))*$C190*G$172</f>
        <v>1133312.6153159996</v>
      </c>
      <c r="H190" s="194">
        <f>((F132*(1-'5.Closing Stock &amp; W Capital'!$D$16))+(E132*'5.Closing Stock &amp; W Capital'!$D$16))*$C190*H$172</f>
        <v>1360462.2354918001</v>
      </c>
      <c r="I190" s="194">
        <f>((G132*(1-'5.Closing Stock &amp; W Capital'!$D$16))+(F132*'5.Closing Stock &amp; W Capital'!$D$16))*$C190*I$172</f>
        <v>1607493.5361468897</v>
      </c>
      <c r="J190" s="194">
        <f>((H132*(1-'5.Closing Stock &amp; W Capital'!$D$16))+(G132*'5.Closing Stock &amp; W Capital'!$D$16))*$C190*J$172</f>
        <v>1875826.8112787595</v>
      </c>
      <c r="K190" s="89"/>
      <c r="L190" s="89"/>
    </row>
    <row r="191" spans="1:12" x14ac:dyDescent="0.2">
      <c r="A191" s="90" t="str">
        <f t="shared" si="33"/>
        <v>Safflower</v>
      </c>
      <c r="B191" s="387" t="s">
        <v>363</v>
      </c>
      <c r="C191" s="406"/>
      <c r="D191" s="194">
        <f>(B133*(1-'5.Closing Stock &amp; W Capital'!$D$16))*$C191*D$172</f>
        <v>0</v>
      </c>
      <c r="E191" s="194">
        <f>((C133*(1-'5.Closing Stock &amp; W Capital'!$D$16))+(B133*'5.Closing Stock &amp; W Capital'!$D$16))*$C191*E$172</f>
        <v>0</v>
      </c>
      <c r="F191" s="194">
        <f>((D133*(1-'5.Closing Stock &amp; W Capital'!$D$16))+(C133*'5.Closing Stock &amp; W Capital'!$D$16))*$C191*F$172</f>
        <v>0</v>
      </c>
      <c r="G191" s="194">
        <f>((E133*(1-'5.Closing Stock &amp; W Capital'!$D$16))+(D133*'5.Closing Stock &amp; W Capital'!$D$16))*$C191*G$172</f>
        <v>0</v>
      </c>
      <c r="H191" s="194">
        <f>((F133*(1-'5.Closing Stock &amp; W Capital'!$D$16))+(E133*'5.Closing Stock &amp; W Capital'!$D$16))*$C191*H$172</f>
        <v>0</v>
      </c>
      <c r="I191" s="194">
        <f>((G133*(1-'5.Closing Stock &amp; W Capital'!$D$16))+(F133*'5.Closing Stock &amp; W Capital'!$D$16))*$C191*I$172</f>
        <v>0</v>
      </c>
      <c r="J191" s="194">
        <f>((H133*(1-'5.Closing Stock &amp; W Capital'!$D$16))+(G133*'5.Closing Stock &amp; W Capital'!$D$16))*$C191*J$172</f>
        <v>0</v>
      </c>
      <c r="K191" s="89"/>
      <c r="L191" s="89"/>
    </row>
    <row r="192" spans="1:12" x14ac:dyDescent="0.2">
      <c r="A192" s="90">
        <f t="shared" si="33"/>
        <v>0</v>
      </c>
      <c r="B192" s="387" t="s">
        <v>363</v>
      </c>
      <c r="C192" s="406"/>
      <c r="D192" s="194">
        <f>(B134*(1-'5.Closing Stock &amp; W Capital'!$D$16))*$C192*D$172</f>
        <v>0</v>
      </c>
      <c r="E192" s="194">
        <f>((C134*(1-'5.Closing Stock &amp; W Capital'!$D$16))+(B134*'5.Closing Stock &amp; W Capital'!$D$16))*$C192*E$172</f>
        <v>0</v>
      </c>
      <c r="F192" s="194">
        <f>((D134*(1-'5.Closing Stock &amp; W Capital'!$D$16))+(C134*'5.Closing Stock &amp; W Capital'!$D$16))*$C192*F$172</f>
        <v>0</v>
      </c>
      <c r="G192" s="194">
        <f>((E134*(1-'5.Closing Stock &amp; W Capital'!$D$16))+(D134*'5.Closing Stock &amp; W Capital'!$D$16))*$C192*G$172</f>
        <v>0</v>
      </c>
      <c r="H192" s="194">
        <f>((F134*(1-'5.Closing Stock &amp; W Capital'!$D$16))+(E134*'5.Closing Stock &amp; W Capital'!$D$16))*$C192*H$172</f>
        <v>0</v>
      </c>
      <c r="I192" s="194">
        <f>((G134*(1-'5.Closing Stock &amp; W Capital'!$D$16))+(F134*'5.Closing Stock &amp; W Capital'!$D$16))*$C192*I$172</f>
        <v>0</v>
      </c>
      <c r="J192" s="194">
        <f>((H134*(1-'5.Closing Stock &amp; W Capital'!$D$16))+(G134*'5.Closing Stock &amp; W Capital'!$D$16))*$C192*J$172</f>
        <v>0</v>
      </c>
      <c r="K192" s="89"/>
      <c r="L192" s="89"/>
    </row>
    <row r="193" spans="1:12" x14ac:dyDescent="0.2">
      <c r="A193" s="90">
        <f t="shared" si="33"/>
        <v>0</v>
      </c>
      <c r="B193" s="387" t="s">
        <v>363</v>
      </c>
      <c r="C193" s="406"/>
      <c r="D193" s="194">
        <f>(B135*(1-'5.Closing Stock &amp; W Capital'!$D$16))*$C193*D$172</f>
        <v>0</v>
      </c>
      <c r="E193" s="194">
        <f>((C135*(1-'5.Closing Stock &amp; W Capital'!$D$16))+(B135*'5.Closing Stock &amp; W Capital'!$D$16))*$C193*E$172</f>
        <v>0</v>
      </c>
      <c r="F193" s="194">
        <f>((D135*(1-'5.Closing Stock &amp; W Capital'!$D$16))+(C135*'5.Closing Stock &amp; W Capital'!$D$16))*$C193*F$172</f>
        <v>0</v>
      </c>
      <c r="G193" s="194">
        <f>((E135*(1-'5.Closing Stock &amp; W Capital'!$D$16))+(D135*'5.Closing Stock &amp; W Capital'!$D$16))*$C193*G$172</f>
        <v>0</v>
      </c>
      <c r="H193" s="194">
        <f>((F135*(1-'5.Closing Stock &amp; W Capital'!$D$16))+(E135*'5.Closing Stock &amp; W Capital'!$D$16))*$C193*H$172</f>
        <v>0</v>
      </c>
      <c r="I193" s="194">
        <f>((G135*(1-'5.Closing Stock &amp; W Capital'!$D$16))+(F135*'5.Closing Stock &amp; W Capital'!$D$16))*$C193*I$172</f>
        <v>0</v>
      </c>
      <c r="J193" s="194">
        <f>((H135*(1-'5.Closing Stock &amp; W Capital'!$D$16))+(G135*'5.Closing Stock &amp; W Capital'!$D$16))*$C193*J$172</f>
        <v>0</v>
      </c>
      <c r="K193" s="89"/>
      <c r="L193" s="89"/>
    </row>
    <row r="194" spans="1:12" x14ac:dyDescent="0.2">
      <c r="A194" s="90">
        <f t="shared" si="33"/>
        <v>0</v>
      </c>
      <c r="B194" s="387" t="s">
        <v>363</v>
      </c>
      <c r="C194" s="406"/>
      <c r="D194" s="194">
        <f>(B136*(1-'5.Closing Stock &amp; W Capital'!$D$16))*$C194*D$172</f>
        <v>0</v>
      </c>
      <c r="E194" s="194">
        <f>((C136*(1-'5.Closing Stock &amp; W Capital'!$D$16))+(B136*'5.Closing Stock &amp; W Capital'!$D$16))*$C194*E$172</f>
        <v>0</v>
      </c>
      <c r="F194" s="194">
        <f>((D136*(1-'5.Closing Stock &amp; W Capital'!$D$16))+(C136*'5.Closing Stock &amp; W Capital'!$D$16))*$C194*F$172</f>
        <v>0</v>
      </c>
      <c r="G194" s="194">
        <f>((E136*(1-'5.Closing Stock &amp; W Capital'!$D$16))+(D136*'5.Closing Stock &amp; W Capital'!$D$16))*$C194*G$172</f>
        <v>0</v>
      </c>
      <c r="H194" s="194">
        <f>((F136*(1-'5.Closing Stock &amp; W Capital'!$D$16))+(E136*'5.Closing Stock &amp; W Capital'!$D$16))*$C194*H$172</f>
        <v>0</v>
      </c>
      <c r="I194" s="194">
        <f>((G136*(1-'5.Closing Stock &amp; W Capital'!$D$16))+(F136*'5.Closing Stock &amp; W Capital'!$D$16))*$C194*I$172</f>
        <v>0</v>
      </c>
      <c r="J194" s="194">
        <f>((H136*(1-'5.Closing Stock &amp; W Capital'!$D$16))+(G136*'5.Closing Stock &amp; W Capital'!$D$16))*$C194*J$172</f>
        <v>0</v>
      </c>
      <c r="K194" s="89"/>
      <c r="L194" s="89"/>
    </row>
    <row r="195" spans="1:12" x14ac:dyDescent="0.2">
      <c r="A195" s="90" t="str">
        <f t="shared" si="33"/>
        <v>Groundnut</v>
      </c>
      <c r="B195" s="387" t="s">
        <v>363</v>
      </c>
      <c r="C195" s="406"/>
      <c r="D195" s="194">
        <f>(B137*(1-'5.Closing Stock &amp; W Capital'!$D$16))*$C195*D$172</f>
        <v>0</v>
      </c>
      <c r="E195" s="194">
        <f>((C137*(1-'5.Closing Stock &amp; W Capital'!$D$16))+(B137*'5.Closing Stock &amp; W Capital'!$D$16))*$C195*E$172</f>
        <v>0</v>
      </c>
      <c r="F195" s="194">
        <f>((D137*(1-'5.Closing Stock &amp; W Capital'!$D$16))+(C137*'5.Closing Stock &amp; W Capital'!$D$16))*$C195*F$172</f>
        <v>0</v>
      </c>
      <c r="G195" s="194">
        <f>((E137*(1-'5.Closing Stock &amp; W Capital'!$D$16))+(D137*'5.Closing Stock &amp; W Capital'!$D$16))*$C195*G$172</f>
        <v>0</v>
      </c>
      <c r="H195" s="194">
        <f>((F137*(1-'5.Closing Stock &amp; W Capital'!$D$16))+(E137*'5.Closing Stock &amp; W Capital'!$D$16))*$C195*H$172</f>
        <v>0</v>
      </c>
      <c r="I195" s="194">
        <f>((G137*(1-'5.Closing Stock &amp; W Capital'!$D$16))+(F137*'5.Closing Stock &amp; W Capital'!$D$16))*$C195*I$172</f>
        <v>0</v>
      </c>
      <c r="J195" s="194">
        <f>((H137*(1-'5.Closing Stock &amp; W Capital'!$D$16))+(G137*'5.Closing Stock &amp; W Capital'!$D$16))*$C195*J$172</f>
        <v>0</v>
      </c>
      <c r="K195" s="89"/>
      <c r="L195" s="89"/>
    </row>
    <row r="196" spans="1:12" x14ac:dyDescent="0.2">
      <c r="A196" s="90">
        <f t="shared" si="33"/>
        <v>0</v>
      </c>
      <c r="B196" s="387" t="s">
        <v>363</v>
      </c>
      <c r="C196" s="406"/>
      <c r="D196" s="194">
        <f>(B138*(1-'5.Closing Stock &amp; W Capital'!$D$16))*$C196*D$172</f>
        <v>0</v>
      </c>
      <c r="E196" s="194">
        <f>((C138*(1-'5.Closing Stock &amp; W Capital'!$D$16))+(B138*'5.Closing Stock &amp; W Capital'!$D$16))*$C196*E$172</f>
        <v>0</v>
      </c>
      <c r="F196" s="194">
        <f>((D138*(1-'5.Closing Stock &amp; W Capital'!$D$16))+(C138*'5.Closing Stock &amp; W Capital'!$D$16))*$C196*F$172</f>
        <v>0</v>
      </c>
      <c r="G196" s="194">
        <f>((E138*(1-'5.Closing Stock &amp; W Capital'!$D$16))+(D138*'5.Closing Stock &amp; W Capital'!$D$16))*$C196*G$172</f>
        <v>0</v>
      </c>
      <c r="H196" s="194">
        <f>((F138*(1-'5.Closing Stock &amp; W Capital'!$D$16))+(E138*'5.Closing Stock &amp; W Capital'!$D$16))*$C196*H$172</f>
        <v>0</v>
      </c>
      <c r="I196" s="194">
        <f>((G138*(1-'5.Closing Stock &amp; W Capital'!$D$16))+(F138*'5.Closing Stock &amp; W Capital'!$D$16))*$C196*I$172</f>
        <v>0</v>
      </c>
      <c r="J196" s="194">
        <f>((H138*(1-'5.Closing Stock &amp; W Capital'!$D$16))+(G138*'5.Closing Stock &amp; W Capital'!$D$16))*$C196*J$172</f>
        <v>0</v>
      </c>
      <c r="K196" s="89"/>
      <c r="L196" s="89"/>
    </row>
    <row r="197" spans="1:12" x14ac:dyDescent="0.2">
      <c r="A197" s="90">
        <f t="shared" si="33"/>
        <v>0</v>
      </c>
      <c r="B197" s="387" t="s">
        <v>363</v>
      </c>
      <c r="C197" s="406"/>
      <c r="D197" s="194">
        <f>(B139*(1-'5.Closing Stock &amp; W Capital'!$D$16))*$C197*D$172</f>
        <v>0</v>
      </c>
      <c r="E197" s="194">
        <f>((C139*(1-'5.Closing Stock &amp; W Capital'!$D$16))+(B139*'5.Closing Stock &amp; W Capital'!$D$16))*$C197*E$172</f>
        <v>0</v>
      </c>
      <c r="F197" s="194">
        <f>((D139*(1-'5.Closing Stock &amp; W Capital'!$D$16))+(C139*'5.Closing Stock &amp; W Capital'!$D$16))*$C197*F$172</f>
        <v>0</v>
      </c>
      <c r="G197" s="194">
        <f>((E139*(1-'5.Closing Stock &amp; W Capital'!$D$16))+(D139*'5.Closing Stock &amp; W Capital'!$D$16))*$C197*G$172</f>
        <v>0</v>
      </c>
      <c r="H197" s="194">
        <f>((F139*(1-'5.Closing Stock &amp; W Capital'!$D$16))+(E139*'5.Closing Stock &amp; W Capital'!$D$16))*$C197*H$172</f>
        <v>0</v>
      </c>
      <c r="I197" s="194">
        <f>((G139*(1-'5.Closing Stock &amp; W Capital'!$D$16))+(F139*'5.Closing Stock &amp; W Capital'!$D$16))*$C197*I$172</f>
        <v>0</v>
      </c>
      <c r="J197" s="194">
        <f>((H139*(1-'5.Closing Stock &amp; W Capital'!$D$16))+(G139*'5.Closing Stock &amp; W Capital'!$D$16))*$C197*J$172</f>
        <v>0</v>
      </c>
      <c r="K197" s="89"/>
      <c r="L197" s="89"/>
    </row>
    <row r="198" spans="1:12" x14ac:dyDescent="0.2">
      <c r="A198" s="90">
        <f t="shared" si="33"/>
        <v>0</v>
      </c>
      <c r="B198" s="387" t="s">
        <v>363</v>
      </c>
      <c r="C198" s="406"/>
      <c r="D198" s="194">
        <f>(B140*(1-'5.Closing Stock &amp; W Capital'!$D$16))*$C198*D$172</f>
        <v>0</v>
      </c>
      <c r="E198" s="194">
        <f>((C140*(1-'5.Closing Stock &amp; W Capital'!$D$16))+(B140*'5.Closing Stock &amp; W Capital'!$D$16))*$C198*E$172</f>
        <v>0</v>
      </c>
      <c r="F198" s="194">
        <f>((D140*(1-'5.Closing Stock &amp; W Capital'!$D$16))+(C140*'5.Closing Stock &amp; W Capital'!$D$16))*$C198*F$172</f>
        <v>0</v>
      </c>
      <c r="G198" s="194">
        <f>((E140*(1-'5.Closing Stock &amp; W Capital'!$D$16))+(D140*'5.Closing Stock &amp; W Capital'!$D$16))*$C198*G$172</f>
        <v>0</v>
      </c>
      <c r="H198" s="194">
        <f>((F140*(1-'5.Closing Stock &amp; W Capital'!$D$16))+(E140*'5.Closing Stock &amp; W Capital'!$D$16))*$C198*H$172</f>
        <v>0</v>
      </c>
      <c r="I198" s="194">
        <f>((G140*(1-'5.Closing Stock &amp; W Capital'!$D$16))+(F140*'5.Closing Stock &amp; W Capital'!$D$16))*$C198*I$172</f>
        <v>0</v>
      </c>
      <c r="J198" s="194">
        <f>((H140*(1-'5.Closing Stock &amp; W Capital'!$D$16))+(G140*'5.Closing Stock &amp; W Capital'!$D$16))*$C198*J$172</f>
        <v>0</v>
      </c>
      <c r="K198" s="89"/>
      <c r="L198" s="89"/>
    </row>
    <row r="199" spans="1:12" x14ac:dyDescent="0.2">
      <c r="A199" s="90"/>
      <c r="B199" s="387" t="s">
        <v>363</v>
      </c>
      <c r="C199" s="406"/>
      <c r="D199" s="194">
        <f>(B141*(1-'5.Closing Stock &amp; W Capital'!$D$16))*$C199*D$172</f>
        <v>0</v>
      </c>
      <c r="E199" s="194">
        <f>((C141*(1-'5.Closing Stock &amp; W Capital'!$D$16))+(B141*'5.Closing Stock &amp; W Capital'!$D$16))*$C199*E$172</f>
        <v>0</v>
      </c>
      <c r="F199" s="194">
        <f>((D141*(1-'5.Closing Stock &amp; W Capital'!$D$16))+(C141*'5.Closing Stock &amp; W Capital'!$D$16))*$C199*F$172</f>
        <v>0</v>
      </c>
      <c r="G199" s="194">
        <f>((E141*(1-'5.Closing Stock &amp; W Capital'!$D$16))+(D141*'5.Closing Stock &amp; W Capital'!$D$16))*$C199*G$172</f>
        <v>0</v>
      </c>
      <c r="H199" s="194">
        <f>((F141*(1-'5.Closing Stock &amp; W Capital'!$D$16))+(E141*'5.Closing Stock &amp; W Capital'!$D$16))*$C199*H$172</f>
        <v>0</v>
      </c>
      <c r="I199" s="194">
        <f>((G141*(1-'5.Closing Stock &amp; W Capital'!$D$16))+(F141*'5.Closing Stock &amp; W Capital'!$D$16))*$C199*I$172</f>
        <v>0</v>
      </c>
      <c r="J199" s="194">
        <f>((H141*(1-'5.Closing Stock &amp; W Capital'!$D$16))+(G141*'5.Closing Stock &amp; W Capital'!$D$16))*$C199*J$172</f>
        <v>0</v>
      </c>
      <c r="K199" s="89"/>
      <c r="L199" s="89"/>
    </row>
    <row r="200" spans="1:12" x14ac:dyDescent="0.2">
      <c r="A200" s="92" t="s">
        <v>296</v>
      </c>
      <c r="B200" s="387" t="s">
        <v>363</v>
      </c>
      <c r="C200" s="403">
        <v>50</v>
      </c>
      <c r="D200" s="194">
        <f t="shared" ref="D200:J200" si="34">B65*$C$200*D172</f>
        <v>680625.05</v>
      </c>
      <c r="E200" s="194">
        <f t="shared" si="34"/>
        <v>893320.37812500005</v>
      </c>
      <c r="F200" s="194">
        <f t="shared" si="34"/>
        <v>1125583.6764375002</v>
      </c>
      <c r="G200" s="194">
        <f t="shared" si="34"/>
        <v>1378840.0036359378</v>
      </c>
      <c r="H200" s="194">
        <f t="shared" si="34"/>
        <v>1654608.0043631254</v>
      </c>
      <c r="I200" s="194">
        <f t="shared" si="34"/>
        <v>1954505.7051539416</v>
      </c>
      <c r="J200" s="194">
        <f t="shared" si="34"/>
        <v>1910153.2297839967</v>
      </c>
      <c r="K200" s="89"/>
      <c r="L200" s="89"/>
    </row>
    <row r="201" spans="1:12" x14ac:dyDescent="0.2">
      <c r="A201" s="92"/>
      <c r="B201" s="403"/>
      <c r="C201" s="403"/>
      <c r="D201" s="90"/>
      <c r="E201" s="90"/>
      <c r="F201" s="90"/>
      <c r="G201" s="90"/>
      <c r="H201" s="90"/>
      <c r="I201" s="90"/>
      <c r="J201" s="90"/>
      <c r="K201" s="89"/>
      <c r="L201" s="89"/>
    </row>
    <row r="202" spans="1:12" x14ac:dyDescent="0.2">
      <c r="A202" s="92" t="str">
        <f t="shared" ref="A202:A220" si="35">A143</f>
        <v>Fruit  &amp; Vegetables Crop Production Details</v>
      </c>
      <c r="B202" s="403"/>
      <c r="C202" s="403"/>
      <c r="D202" s="90"/>
      <c r="E202" s="90"/>
      <c r="F202" s="90"/>
      <c r="G202" s="90"/>
      <c r="H202" s="90"/>
      <c r="I202" s="90"/>
      <c r="J202" s="90"/>
      <c r="K202" s="89"/>
      <c r="L202" s="89"/>
    </row>
    <row r="203" spans="1:12" x14ac:dyDescent="0.2">
      <c r="A203" s="92" t="str">
        <f t="shared" si="35"/>
        <v>Onion</v>
      </c>
      <c r="B203" s="387" t="s">
        <v>363</v>
      </c>
      <c r="C203" s="407">
        <v>2000</v>
      </c>
      <c r="D203" s="194">
        <f>(B144*(1-'5.Closing Stock &amp; W Capital'!$D$16))*$C203*D$172</f>
        <v>0</v>
      </c>
      <c r="E203" s="194">
        <f>((C144*(1-'5.Closing Stock &amp; W Capital'!$D$16))+(B144*'5.Closing Stock &amp; W Capital'!$D$16))*$C203*E$172</f>
        <v>0</v>
      </c>
      <c r="F203" s="194">
        <f>((D144*(1-'5.Closing Stock &amp; W Capital'!$D$16))+(C144*'5.Closing Stock &amp; W Capital'!$D$16))*$C203*F$172</f>
        <v>0</v>
      </c>
      <c r="G203" s="194">
        <f>((E144*(1-'5.Closing Stock &amp; W Capital'!$D$16))+(D144*'5.Closing Stock &amp; W Capital'!$D$16))*$C203*G$172</f>
        <v>0</v>
      </c>
      <c r="H203" s="194">
        <f>((F144*(1-'5.Closing Stock &amp; W Capital'!$D$16))+(E144*'5.Closing Stock &amp; W Capital'!$D$16))*$C203*H$172</f>
        <v>0</v>
      </c>
      <c r="I203" s="194">
        <f>((G144*(1-'5.Closing Stock &amp; W Capital'!$D$16))+(F144*'5.Closing Stock &amp; W Capital'!$D$16))*$C203*I$172</f>
        <v>0</v>
      </c>
      <c r="J203" s="194">
        <f>((H144*(1-'5.Closing Stock &amp; W Capital'!$D$16))+(G144*'5.Closing Stock &amp; W Capital'!$D$16))*$C203*J$172</f>
        <v>0</v>
      </c>
      <c r="K203" s="89"/>
      <c r="L203" s="89"/>
    </row>
    <row r="204" spans="1:12" x14ac:dyDescent="0.2">
      <c r="A204" s="92" t="str">
        <f t="shared" si="35"/>
        <v>Tomato</v>
      </c>
      <c r="B204" s="387" t="s">
        <v>363</v>
      </c>
      <c r="C204" s="406">
        <v>1000</v>
      </c>
      <c r="D204" s="194">
        <f>(B145*(1-'5.Closing Stock &amp; W Capital'!$D$16))*$C204*D$172</f>
        <v>0</v>
      </c>
      <c r="E204" s="194">
        <f>((C145*(1-'5.Closing Stock &amp; W Capital'!$D$16))+(B145*'5.Closing Stock &amp; W Capital'!$D$16))*$C204*E$172</f>
        <v>0</v>
      </c>
      <c r="F204" s="194">
        <f>((D145*(1-'5.Closing Stock &amp; W Capital'!$D$16))+(C145*'5.Closing Stock &amp; W Capital'!$D$16))*$C204*F$172</f>
        <v>0</v>
      </c>
      <c r="G204" s="194">
        <f>((E145*(1-'5.Closing Stock &amp; W Capital'!$D$16))+(D145*'5.Closing Stock &amp; W Capital'!$D$16))*$C204*G$172</f>
        <v>0</v>
      </c>
      <c r="H204" s="194">
        <f>((F145*(1-'5.Closing Stock &amp; W Capital'!$D$16))+(E145*'5.Closing Stock &amp; W Capital'!$D$16))*$C204*H$172</f>
        <v>0</v>
      </c>
      <c r="I204" s="194">
        <f>((G145*(1-'5.Closing Stock &amp; W Capital'!$D$16))+(F145*'5.Closing Stock &amp; W Capital'!$D$16))*$C204*I$172</f>
        <v>0</v>
      </c>
      <c r="J204" s="194">
        <f>((H145*(1-'5.Closing Stock &amp; W Capital'!$D$16))+(G145*'5.Closing Stock &amp; W Capital'!$D$16))*$C204*J$172</f>
        <v>0</v>
      </c>
      <c r="K204" s="89"/>
      <c r="L204" s="89"/>
    </row>
    <row r="205" spans="1:12" x14ac:dyDescent="0.2">
      <c r="A205" s="92" t="str">
        <f t="shared" si="35"/>
        <v>Okra</v>
      </c>
      <c r="B205" s="387" t="s">
        <v>363</v>
      </c>
      <c r="C205" s="406">
        <v>1500</v>
      </c>
      <c r="D205" s="194">
        <f>(B146*(1-'5.Closing Stock &amp; W Capital'!$D$16))*$C205*D$172</f>
        <v>0</v>
      </c>
      <c r="E205" s="194">
        <f>((C146*(1-'5.Closing Stock &amp; W Capital'!$D$16))+(B146*'5.Closing Stock &amp; W Capital'!$D$16))*$C205*E$172</f>
        <v>0</v>
      </c>
      <c r="F205" s="194">
        <f>((D146*(1-'5.Closing Stock &amp; W Capital'!$D$16))+(C146*'5.Closing Stock &amp; W Capital'!$D$16))*$C205*F$172</f>
        <v>0</v>
      </c>
      <c r="G205" s="194">
        <f>((E146*(1-'5.Closing Stock &amp; W Capital'!$D$16))+(D146*'5.Closing Stock &amp; W Capital'!$D$16))*$C205*G$172</f>
        <v>0</v>
      </c>
      <c r="H205" s="194">
        <f>((F146*(1-'5.Closing Stock &amp; W Capital'!$D$16))+(E146*'5.Closing Stock &amp; W Capital'!$D$16))*$C205*H$172</f>
        <v>0</v>
      </c>
      <c r="I205" s="194">
        <f>((G146*(1-'5.Closing Stock &amp; W Capital'!$D$16))+(F146*'5.Closing Stock &amp; W Capital'!$D$16))*$C205*I$172</f>
        <v>0</v>
      </c>
      <c r="J205" s="194">
        <f>((H146*(1-'5.Closing Stock &amp; W Capital'!$D$16))+(G146*'5.Closing Stock &amp; W Capital'!$D$16))*$C205*J$172</f>
        <v>0</v>
      </c>
      <c r="K205" s="89"/>
      <c r="L205" s="89"/>
    </row>
    <row r="206" spans="1:12" x14ac:dyDescent="0.2">
      <c r="A206" s="92" t="str">
        <f t="shared" si="35"/>
        <v>Chilli</v>
      </c>
      <c r="B206" s="387" t="s">
        <v>363</v>
      </c>
      <c r="C206" s="406">
        <v>3000</v>
      </c>
      <c r="D206" s="194">
        <f>(B147*(1-'5.Closing Stock &amp; W Capital'!$D$16))*$C206*D$172</f>
        <v>0</v>
      </c>
      <c r="E206" s="194">
        <f>((C147*(1-'5.Closing Stock &amp; W Capital'!$D$16))+(B147*'5.Closing Stock &amp; W Capital'!$D$16))*$C206*E$172</f>
        <v>0</v>
      </c>
      <c r="F206" s="194">
        <f>((D147*(1-'5.Closing Stock &amp; W Capital'!$D$16))+(C147*'5.Closing Stock &amp; W Capital'!$D$16))*$C206*F$172</f>
        <v>0</v>
      </c>
      <c r="G206" s="194">
        <f>((E147*(1-'5.Closing Stock &amp; W Capital'!$D$16))+(D147*'5.Closing Stock &amp; W Capital'!$D$16))*$C206*G$172</f>
        <v>0</v>
      </c>
      <c r="H206" s="194">
        <f>((F147*(1-'5.Closing Stock &amp; W Capital'!$D$16))+(E147*'5.Closing Stock &amp; W Capital'!$D$16))*$C206*H$172</f>
        <v>0</v>
      </c>
      <c r="I206" s="194">
        <f>((G147*(1-'5.Closing Stock &amp; W Capital'!$D$16))+(F147*'5.Closing Stock &amp; W Capital'!$D$16))*$C206*I$172</f>
        <v>0</v>
      </c>
      <c r="J206" s="194">
        <f>((H147*(1-'5.Closing Stock &amp; W Capital'!$D$16))+(G147*'5.Closing Stock &amp; W Capital'!$D$16))*$C206*J$172</f>
        <v>0</v>
      </c>
      <c r="K206" s="89"/>
      <c r="L206" s="89"/>
    </row>
    <row r="207" spans="1:12" x14ac:dyDescent="0.2">
      <c r="A207" s="92" t="str">
        <f t="shared" si="35"/>
        <v>Potato</v>
      </c>
      <c r="B207" s="387" t="s">
        <v>363</v>
      </c>
      <c r="C207" s="406">
        <v>1500</v>
      </c>
      <c r="D207" s="194">
        <f>(B148*(1-'5.Closing Stock &amp; W Capital'!$D$16))*$C207*D$172</f>
        <v>0</v>
      </c>
      <c r="E207" s="194">
        <f>((C148*(1-'5.Closing Stock &amp; W Capital'!$D$16))+(B148*'5.Closing Stock &amp; W Capital'!$D$16))*$C207*E$172</f>
        <v>0</v>
      </c>
      <c r="F207" s="194">
        <f>((D148*(1-'5.Closing Stock &amp; W Capital'!$D$16))+(C148*'5.Closing Stock &amp; W Capital'!$D$16))*$C207*F$172</f>
        <v>0</v>
      </c>
      <c r="G207" s="194">
        <f>((E148*(1-'5.Closing Stock &amp; W Capital'!$D$16))+(D148*'5.Closing Stock &amp; W Capital'!$D$16))*$C207*G$172</f>
        <v>0</v>
      </c>
      <c r="H207" s="194">
        <f>((F148*(1-'5.Closing Stock &amp; W Capital'!$D$16))+(E148*'5.Closing Stock &amp; W Capital'!$D$16))*$C207*H$172</f>
        <v>0</v>
      </c>
      <c r="I207" s="194">
        <f>((G148*(1-'5.Closing Stock &amp; W Capital'!$D$16))+(F148*'5.Closing Stock &amp; W Capital'!$D$16))*$C207*I$172</f>
        <v>0</v>
      </c>
      <c r="J207" s="194">
        <f>((H148*(1-'5.Closing Stock &amp; W Capital'!$D$16))+(G148*'5.Closing Stock &amp; W Capital'!$D$16))*$C207*J$172</f>
        <v>0</v>
      </c>
      <c r="K207" s="89"/>
      <c r="L207" s="89"/>
    </row>
    <row r="208" spans="1:12" x14ac:dyDescent="0.2">
      <c r="A208" s="92">
        <f t="shared" si="35"/>
        <v>0</v>
      </c>
      <c r="B208" s="387" t="s">
        <v>363</v>
      </c>
      <c r="C208" s="403"/>
      <c r="D208" s="194">
        <f>(B149*(1-'5.Closing Stock &amp; W Capital'!$D$16))*$C208*D$172</f>
        <v>0</v>
      </c>
      <c r="E208" s="194">
        <f>((C149*(1-'5.Closing Stock &amp; W Capital'!$D$16))+(B149*'5.Closing Stock &amp; W Capital'!$D$16))*$C208*E$172</f>
        <v>0</v>
      </c>
      <c r="F208" s="194">
        <f>((D149*(1-'5.Closing Stock &amp; W Capital'!$D$16))+(C149*'5.Closing Stock &amp; W Capital'!$D$16))*$C208*F$172</f>
        <v>0</v>
      </c>
      <c r="G208" s="194">
        <f>((E149*(1-'5.Closing Stock &amp; W Capital'!$D$16))+(D149*'5.Closing Stock &amp; W Capital'!$D$16))*$C208*G$172</f>
        <v>0</v>
      </c>
      <c r="H208" s="194">
        <f>((F149*(1-'5.Closing Stock &amp; W Capital'!$D$16))+(E149*'5.Closing Stock &amp; W Capital'!$D$16))*$C208*H$172</f>
        <v>0</v>
      </c>
      <c r="I208" s="194">
        <f>((G149*(1-'5.Closing Stock &amp; W Capital'!$D$16))+(F149*'5.Closing Stock &amp; W Capital'!$D$16))*$C208*I$172</f>
        <v>0</v>
      </c>
      <c r="J208" s="194">
        <f>((H149*(1-'5.Closing Stock &amp; W Capital'!$D$16))+(G149*'5.Closing Stock &amp; W Capital'!$D$16))*$C208*J$172</f>
        <v>0</v>
      </c>
      <c r="K208" s="89"/>
      <c r="L208" s="89"/>
    </row>
    <row r="209" spans="1:12" x14ac:dyDescent="0.2">
      <c r="A209" s="92">
        <f t="shared" si="35"/>
        <v>0</v>
      </c>
      <c r="B209" s="387" t="s">
        <v>363</v>
      </c>
      <c r="C209" s="403"/>
      <c r="D209" s="194">
        <f>(B150*(1-'5.Closing Stock &amp; W Capital'!$D$16))*$C209*D$172</f>
        <v>0</v>
      </c>
      <c r="E209" s="194">
        <f>((C150*(1-'5.Closing Stock &amp; W Capital'!$D$16))+(B150*'5.Closing Stock &amp; W Capital'!$D$16))*$C209*E$172</f>
        <v>0</v>
      </c>
      <c r="F209" s="194">
        <f>((D150*(1-'5.Closing Stock &amp; W Capital'!$D$16))+(C150*'5.Closing Stock &amp; W Capital'!$D$16))*$C209*F$172</f>
        <v>0</v>
      </c>
      <c r="G209" s="194">
        <f>((E150*(1-'5.Closing Stock &amp; W Capital'!$D$16))+(D150*'5.Closing Stock &amp; W Capital'!$D$16))*$C209*G$172</f>
        <v>0</v>
      </c>
      <c r="H209" s="194">
        <f>((F150*(1-'5.Closing Stock &amp; W Capital'!$D$16))+(E150*'5.Closing Stock &amp; W Capital'!$D$16))*$C209*H$172</f>
        <v>0</v>
      </c>
      <c r="I209" s="194">
        <f>((G150*(1-'5.Closing Stock &amp; W Capital'!$D$16))+(F150*'5.Closing Stock &amp; W Capital'!$D$16))*$C209*I$172</f>
        <v>0</v>
      </c>
      <c r="J209" s="194">
        <f>((H150*(1-'5.Closing Stock &amp; W Capital'!$D$16))+(G150*'5.Closing Stock &amp; W Capital'!$D$16))*$C209*J$172</f>
        <v>0</v>
      </c>
      <c r="K209" s="89"/>
      <c r="L209" s="89"/>
    </row>
    <row r="210" spans="1:12" x14ac:dyDescent="0.2">
      <c r="A210" s="92">
        <f t="shared" si="35"/>
        <v>0</v>
      </c>
      <c r="B210" s="387" t="s">
        <v>363</v>
      </c>
      <c r="C210" s="403"/>
      <c r="D210" s="194">
        <f>(B151*(1-'5.Closing Stock &amp; W Capital'!$D$16))*$C210*D$172</f>
        <v>0</v>
      </c>
      <c r="E210" s="194">
        <f>((C151*(1-'5.Closing Stock &amp; W Capital'!$D$16))+(B151*'5.Closing Stock &amp; W Capital'!$D$16))*$C210*E$172</f>
        <v>0</v>
      </c>
      <c r="F210" s="194">
        <f>((D151*(1-'5.Closing Stock &amp; W Capital'!$D$16))+(C151*'5.Closing Stock &amp; W Capital'!$D$16))*$C210*F$172</f>
        <v>0</v>
      </c>
      <c r="G210" s="194">
        <f>((E151*(1-'5.Closing Stock &amp; W Capital'!$D$16))+(D151*'5.Closing Stock &amp; W Capital'!$D$16))*$C210*G$172</f>
        <v>0</v>
      </c>
      <c r="H210" s="194">
        <f>((F151*(1-'5.Closing Stock &amp; W Capital'!$D$16))+(E151*'5.Closing Stock &amp; W Capital'!$D$16))*$C210*H$172</f>
        <v>0</v>
      </c>
      <c r="I210" s="194">
        <f>((G151*(1-'5.Closing Stock &amp; W Capital'!$D$16))+(F151*'5.Closing Stock &amp; W Capital'!$D$16))*$C210*I$172</f>
        <v>0</v>
      </c>
      <c r="J210" s="194">
        <f>((H151*(1-'5.Closing Stock &amp; W Capital'!$D$16))+(G151*'5.Closing Stock &amp; W Capital'!$D$16))*$C210*J$172</f>
        <v>0</v>
      </c>
      <c r="K210" s="89"/>
      <c r="L210" s="89"/>
    </row>
    <row r="211" spans="1:12" x14ac:dyDescent="0.2">
      <c r="A211" s="92">
        <f t="shared" si="35"/>
        <v>0</v>
      </c>
      <c r="B211" s="387" t="s">
        <v>363</v>
      </c>
      <c r="C211" s="403"/>
      <c r="D211" s="194">
        <f>(B152*(1-'5.Closing Stock &amp; W Capital'!$D$16))*$C211*D$172</f>
        <v>0</v>
      </c>
      <c r="E211" s="194">
        <f>((C152*(1-'5.Closing Stock &amp; W Capital'!$D$16))+(B152*'5.Closing Stock &amp; W Capital'!$D$16))*$C211*E$172</f>
        <v>0</v>
      </c>
      <c r="F211" s="194">
        <f>((D152*(1-'5.Closing Stock &amp; W Capital'!$D$16))+(C152*'5.Closing Stock &amp; W Capital'!$D$16))*$C211*F$172</f>
        <v>0</v>
      </c>
      <c r="G211" s="194">
        <f>((E152*(1-'5.Closing Stock &amp; W Capital'!$D$16))+(D152*'5.Closing Stock &amp; W Capital'!$D$16))*$C211*G$172</f>
        <v>0</v>
      </c>
      <c r="H211" s="194">
        <f>((F152*(1-'5.Closing Stock &amp; W Capital'!$D$16))+(E152*'5.Closing Stock &amp; W Capital'!$D$16))*$C211*H$172</f>
        <v>0</v>
      </c>
      <c r="I211" s="194">
        <f>((G152*(1-'5.Closing Stock &amp; W Capital'!$D$16))+(F152*'5.Closing Stock &amp; W Capital'!$D$16))*$C211*I$172</f>
        <v>0</v>
      </c>
      <c r="J211" s="194">
        <f>((H152*(1-'5.Closing Stock &amp; W Capital'!$D$16))+(G152*'5.Closing Stock &amp; W Capital'!$D$16))*$C211*J$172</f>
        <v>0</v>
      </c>
      <c r="K211" s="89"/>
      <c r="L211" s="89"/>
    </row>
    <row r="212" spans="1:12" x14ac:dyDescent="0.2">
      <c r="A212" s="92" t="str">
        <f t="shared" si="35"/>
        <v>Onion</v>
      </c>
      <c r="B212" s="387" t="s">
        <v>363</v>
      </c>
      <c r="C212" s="406">
        <v>2000</v>
      </c>
      <c r="D212" s="194">
        <f>(B153*(1-'5.Closing Stock &amp; W Capital'!$D$16))*$C212*D$172</f>
        <v>0</v>
      </c>
      <c r="E212" s="194">
        <f>((C153*(1-'5.Closing Stock &amp; W Capital'!$D$16))+(B153*'5.Closing Stock &amp; W Capital'!$D$16))*$C212*E$172</f>
        <v>0</v>
      </c>
      <c r="F212" s="194">
        <f>((D153*(1-'5.Closing Stock &amp; W Capital'!$D$16))+(C153*'5.Closing Stock &amp; W Capital'!$D$16))*$C212*F$172</f>
        <v>0</v>
      </c>
      <c r="G212" s="194">
        <f>((E153*(1-'5.Closing Stock &amp; W Capital'!$D$16))+(D153*'5.Closing Stock &amp; W Capital'!$D$16))*$C212*G$172</f>
        <v>0</v>
      </c>
      <c r="H212" s="194">
        <f>((F153*(1-'5.Closing Stock &amp; W Capital'!$D$16))+(E153*'5.Closing Stock &amp; W Capital'!$D$16))*$C212*H$172</f>
        <v>0</v>
      </c>
      <c r="I212" s="194">
        <f>((G153*(1-'5.Closing Stock &amp; W Capital'!$D$16))+(F153*'5.Closing Stock &amp; W Capital'!$D$16))*$C212*I$172</f>
        <v>0</v>
      </c>
      <c r="J212" s="194">
        <f>((H153*(1-'5.Closing Stock &amp; W Capital'!$D$16))+(G153*'5.Closing Stock &amp; W Capital'!$D$16))*$C212*J$172</f>
        <v>0</v>
      </c>
      <c r="K212" s="89"/>
      <c r="L212" s="89"/>
    </row>
    <row r="213" spans="1:12" x14ac:dyDescent="0.2">
      <c r="A213" s="92" t="str">
        <f t="shared" si="35"/>
        <v>Tomato</v>
      </c>
      <c r="B213" s="387" t="s">
        <v>363</v>
      </c>
      <c r="C213" s="406">
        <v>1000</v>
      </c>
      <c r="D213" s="194">
        <f>(B154*(1-'5.Closing Stock &amp; W Capital'!$D$16))*$C213*D$172</f>
        <v>0</v>
      </c>
      <c r="E213" s="194">
        <f>((C154*(1-'5.Closing Stock &amp; W Capital'!$D$16))+(B154*'5.Closing Stock &amp; W Capital'!$D$16))*$C213*E$172</f>
        <v>0</v>
      </c>
      <c r="F213" s="194">
        <f>((D154*(1-'5.Closing Stock &amp; W Capital'!$D$16))+(C154*'5.Closing Stock &amp; W Capital'!$D$16))*$C213*F$172</f>
        <v>0</v>
      </c>
      <c r="G213" s="194">
        <f>((E154*(1-'5.Closing Stock &amp; W Capital'!$D$16))+(D154*'5.Closing Stock &amp; W Capital'!$D$16))*$C213*G$172</f>
        <v>0</v>
      </c>
      <c r="H213" s="194">
        <f>((F154*(1-'5.Closing Stock &amp; W Capital'!$D$16))+(E154*'5.Closing Stock &amp; W Capital'!$D$16))*$C213*H$172</f>
        <v>0</v>
      </c>
      <c r="I213" s="194">
        <f>((G154*(1-'5.Closing Stock &amp; W Capital'!$D$16))+(F154*'5.Closing Stock &amp; W Capital'!$D$16))*$C213*I$172</f>
        <v>0</v>
      </c>
      <c r="J213" s="194">
        <f>((H154*(1-'5.Closing Stock &amp; W Capital'!$D$16))+(G154*'5.Closing Stock &amp; W Capital'!$D$16))*$C213*J$172</f>
        <v>0</v>
      </c>
      <c r="K213" s="89"/>
      <c r="L213" s="89"/>
    </row>
    <row r="214" spans="1:12" x14ac:dyDescent="0.2">
      <c r="A214" s="92" t="str">
        <f t="shared" si="35"/>
        <v>Okra</v>
      </c>
      <c r="B214" s="387" t="s">
        <v>363</v>
      </c>
      <c r="C214" s="406">
        <v>1500</v>
      </c>
      <c r="D214" s="194">
        <f>(B155*(1-'5.Closing Stock &amp; W Capital'!$D$16))*$C214*D$172</f>
        <v>0</v>
      </c>
      <c r="E214" s="194">
        <f>((C155*(1-'5.Closing Stock &amp; W Capital'!$D$16))+(B155*'5.Closing Stock &amp; W Capital'!$D$16))*$C214*E$172</f>
        <v>0</v>
      </c>
      <c r="F214" s="194">
        <f>((D155*(1-'5.Closing Stock &amp; W Capital'!$D$16))+(C155*'5.Closing Stock &amp; W Capital'!$D$16))*$C214*F$172</f>
        <v>0</v>
      </c>
      <c r="G214" s="194">
        <f>((E155*(1-'5.Closing Stock &amp; W Capital'!$D$16))+(D155*'5.Closing Stock &amp; W Capital'!$D$16))*$C214*G$172</f>
        <v>0</v>
      </c>
      <c r="H214" s="194">
        <f>((F155*(1-'5.Closing Stock &amp; W Capital'!$D$16))+(E155*'5.Closing Stock &amp; W Capital'!$D$16))*$C214*H$172</f>
        <v>0</v>
      </c>
      <c r="I214" s="194">
        <f>((G155*(1-'5.Closing Stock &amp; W Capital'!$D$16))+(F155*'5.Closing Stock &amp; W Capital'!$D$16))*$C214*I$172</f>
        <v>0</v>
      </c>
      <c r="J214" s="194">
        <f>((H155*(1-'5.Closing Stock &amp; W Capital'!$D$16))+(G155*'5.Closing Stock &amp; W Capital'!$D$16))*$C214*J$172</f>
        <v>0</v>
      </c>
      <c r="K214" s="89"/>
      <c r="L214" s="89"/>
    </row>
    <row r="215" spans="1:12" x14ac:dyDescent="0.2">
      <c r="A215" s="92" t="str">
        <f t="shared" si="35"/>
        <v>Chilli</v>
      </c>
      <c r="B215" s="387" t="s">
        <v>363</v>
      </c>
      <c r="C215" s="406">
        <v>3000</v>
      </c>
      <c r="D215" s="194">
        <f>(B156*(1-'5.Closing Stock &amp; W Capital'!$D$16))*$C215*D$172</f>
        <v>0</v>
      </c>
      <c r="E215" s="194">
        <f>((C156*(1-'5.Closing Stock &amp; W Capital'!$D$16))+(B156*'5.Closing Stock &amp; W Capital'!$D$16))*$C215*E$172</f>
        <v>0</v>
      </c>
      <c r="F215" s="194">
        <f>((D156*(1-'5.Closing Stock &amp; W Capital'!$D$16))+(C156*'5.Closing Stock &amp; W Capital'!$D$16))*$C215*F$172</f>
        <v>0</v>
      </c>
      <c r="G215" s="194">
        <f>((E156*(1-'5.Closing Stock &amp; W Capital'!$D$16))+(D156*'5.Closing Stock &amp; W Capital'!$D$16))*$C215*G$172</f>
        <v>0</v>
      </c>
      <c r="H215" s="194">
        <f>((F156*(1-'5.Closing Stock &amp; W Capital'!$D$16))+(E156*'5.Closing Stock &amp; W Capital'!$D$16))*$C215*H$172</f>
        <v>0</v>
      </c>
      <c r="I215" s="194">
        <f>((G156*(1-'5.Closing Stock &amp; W Capital'!$D$16))+(F156*'5.Closing Stock &amp; W Capital'!$D$16))*$C215*I$172</f>
        <v>0</v>
      </c>
      <c r="J215" s="194">
        <f>((H156*(1-'5.Closing Stock &amp; W Capital'!$D$16))+(G156*'5.Closing Stock &amp; W Capital'!$D$16))*$C215*J$172</f>
        <v>0</v>
      </c>
      <c r="K215" s="89"/>
      <c r="L215" s="89"/>
    </row>
    <row r="216" spans="1:12" x14ac:dyDescent="0.2">
      <c r="A216" s="92" t="str">
        <f t="shared" si="35"/>
        <v>Brinjal</v>
      </c>
      <c r="B216" s="387" t="s">
        <v>363</v>
      </c>
      <c r="C216" s="406">
        <v>2000</v>
      </c>
      <c r="D216" s="194">
        <f>(B157*(1-'5.Closing Stock &amp; W Capital'!$D$16))*$C216*D$172</f>
        <v>0</v>
      </c>
      <c r="E216" s="194">
        <f>((C157*(1-'5.Closing Stock &amp; W Capital'!$D$16))+(B157*'5.Closing Stock &amp; W Capital'!$D$16))*$C216*E$172</f>
        <v>0</v>
      </c>
      <c r="F216" s="194">
        <f>((D157*(1-'5.Closing Stock &amp; W Capital'!$D$16))+(C157*'5.Closing Stock &amp; W Capital'!$D$16))*$C216*F$172</f>
        <v>0</v>
      </c>
      <c r="G216" s="194">
        <f>((E157*(1-'5.Closing Stock &amp; W Capital'!$D$16))+(D157*'5.Closing Stock &amp; W Capital'!$D$16))*$C216*G$172</f>
        <v>0</v>
      </c>
      <c r="H216" s="194">
        <f>((F157*(1-'5.Closing Stock &amp; W Capital'!$D$16))+(E157*'5.Closing Stock &amp; W Capital'!$D$16))*$C216*H$172</f>
        <v>0</v>
      </c>
      <c r="I216" s="194">
        <f>((G157*(1-'5.Closing Stock &amp; W Capital'!$D$16))+(F157*'5.Closing Stock &amp; W Capital'!$D$16))*$C216*I$172</f>
        <v>0</v>
      </c>
      <c r="J216" s="194">
        <f>((H157*(1-'5.Closing Stock &amp; W Capital'!$D$16))+(G157*'5.Closing Stock &amp; W Capital'!$D$16))*$C216*J$172</f>
        <v>0</v>
      </c>
      <c r="K216" s="89"/>
      <c r="L216" s="89"/>
    </row>
    <row r="217" spans="1:12" x14ac:dyDescent="0.2">
      <c r="A217" s="92">
        <f t="shared" si="35"/>
        <v>0</v>
      </c>
      <c r="B217" s="387" t="s">
        <v>363</v>
      </c>
      <c r="C217" s="406"/>
      <c r="D217" s="194">
        <f>(B158*(1-'5.Closing Stock &amp; W Capital'!$D$16))*$C217*D$172</f>
        <v>0</v>
      </c>
      <c r="E217" s="194">
        <f>((C158*(1-'5.Closing Stock &amp; W Capital'!$D$16))+(B158*'5.Closing Stock &amp; W Capital'!$D$16))*$C217*E$172</f>
        <v>0</v>
      </c>
      <c r="F217" s="194">
        <f>((D158*(1-'5.Closing Stock &amp; W Capital'!$D$16))+(C158*'5.Closing Stock &amp; W Capital'!$D$16))*$C217*F$172</f>
        <v>0</v>
      </c>
      <c r="G217" s="194">
        <f>((E158*(1-'5.Closing Stock &amp; W Capital'!$D$16))+(D158*'5.Closing Stock &amp; W Capital'!$D$16))*$C217*G$172</f>
        <v>0</v>
      </c>
      <c r="H217" s="194">
        <f>((F158*(1-'5.Closing Stock &amp; W Capital'!$D$16))+(E158*'5.Closing Stock &amp; W Capital'!$D$16))*$C217*H$172</f>
        <v>0</v>
      </c>
      <c r="I217" s="194">
        <f>((G158*(1-'5.Closing Stock &amp; W Capital'!$D$16))+(F158*'5.Closing Stock &amp; W Capital'!$D$16))*$C217*I$172</f>
        <v>0</v>
      </c>
      <c r="J217" s="194">
        <f>((H158*(1-'5.Closing Stock &amp; W Capital'!$D$16))+(G158*'5.Closing Stock &amp; W Capital'!$D$16))*$C217*J$172</f>
        <v>0</v>
      </c>
      <c r="K217" s="89"/>
      <c r="L217" s="89"/>
    </row>
    <row r="218" spans="1:12" x14ac:dyDescent="0.2">
      <c r="A218" s="92">
        <f t="shared" si="35"/>
        <v>0</v>
      </c>
      <c r="B218" s="387" t="s">
        <v>363</v>
      </c>
      <c r="C218" s="406"/>
      <c r="D218" s="194">
        <f>(B159*(1-'5.Closing Stock &amp; W Capital'!$D$16))*$C218*D$172</f>
        <v>0</v>
      </c>
      <c r="E218" s="194">
        <f>((C159*(1-'5.Closing Stock &amp; W Capital'!$D$16))+(B159*'5.Closing Stock &amp; W Capital'!$D$16))*$C218*E$172</f>
        <v>0</v>
      </c>
      <c r="F218" s="194">
        <f>((D159*(1-'5.Closing Stock &amp; W Capital'!$D$16))+(C159*'5.Closing Stock &amp; W Capital'!$D$16))*$C218*F$172</f>
        <v>0</v>
      </c>
      <c r="G218" s="194">
        <f>((E159*(1-'5.Closing Stock &amp; W Capital'!$D$16))+(D159*'5.Closing Stock &amp; W Capital'!$D$16))*$C218*G$172</f>
        <v>0</v>
      </c>
      <c r="H218" s="194">
        <f>((F159*(1-'5.Closing Stock &amp; W Capital'!$D$16))+(E159*'5.Closing Stock &amp; W Capital'!$D$16))*$C218*H$172</f>
        <v>0</v>
      </c>
      <c r="I218" s="194">
        <f>((G159*(1-'5.Closing Stock &amp; W Capital'!$D$16))+(F159*'5.Closing Stock &amp; W Capital'!$D$16))*$C218*I$172</f>
        <v>0</v>
      </c>
      <c r="J218" s="194">
        <f>((H159*(1-'5.Closing Stock &amp; W Capital'!$D$16))+(G159*'5.Closing Stock &amp; W Capital'!$D$16))*$C218*J$172</f>
        <v>0</v>
      </c>
      <c r="K218" s="89"/>
      <c r="L218" s="89"/>
    </row>
    <row r="219" spans="1:12" x14ac:dyDescent="0.2">
      <c r="A219" s="92">
        <f t="shared" si="35"/>
        <v>0</v>
      </c>
      <c r="B219" s="387" t="s">
        <v>363</v>
      </c>
      <c r="C219" s="406"/>
      <c r="D219" s="194">
        <f>(B160*(1-'5.Closing Stock &amp; W Capital'!$D$16))*$C219*D$172</f>
        <v>0</v>
      </c>
      <c r="E219" s="194">
        <f>((C160*(1-'5.Closing Stock &amp; W Capital'!$D$16))+(B160*'5.Closing Stock &amp; W Capital'!$D$16))*$C219*E$172</f>
        <v>0</v>
      </c>
      <c r="F219" s="194">
        <f>((D160*(1-'5.Closing Stock &amp; W Capital'!$D$16))+(C160*'5.Closing Stock &amp; W Capital'!$D$16))*$C219*F$172</f>
        <v>0</v>
      </c>
      <c r="G219" s="194">
        <f>((E160*(1-'5.Closing Stock &amp; W Capital'!$D$16))+(D160*'5.Closing Stock &amp; W Capital'!$D$16))*$C219*G$172</f>
        <v>0</v>
      </c>
      <c r="H219" s="194">
        <f>((F160*(1-'5.Closing Stock &amp; W Capital'!$D$16))+(E160*'5.Closing Stock &amp; W Capital'!$D$16))*$C219*H$172</f>
        <v>0</v>
      </c>
      <c r="I219" s="194">
        <f>((G160*(1-'5.Closing Stock &amp; W Capital'!$D$16))+(F160*'5.Closing Stock &amp; W Capital'!$D$16))*$C219*I$172</f>
        <v>0</v>
      </c>
      <c r="J219" s="194">
        <f>((H160*(1-'5.Closing Stock &amp; W Capital'!$D$16))+(G160*'5.Closing Stock &amp; W Capital'!$D$16))*$C219*J$172</f>
        <v>0</v>
      </c>
      <c r="K219" s="89"/>
      <c r="L219" s="89"/>
    </row>
    <row r="220" spans="1:12" x14ac:dyDescent="0.2">
      <c r="A220" s="92">
        <f t="shared" si="35"/>
        <v>0</v>
      </c>
      <c r="B220" s="387" t="s">
        <v>363</v>
      </c>
      <c r="C220" s="406"/>
      <c r="D220" s="194">
        <f>(B161*(1-'5.Closing Stock &amp; W Capital'!$D$16))*$C220*D$172</f>
        <v>0</v>
      </c>
      <c r="E220" s="194">
        <f>((C161*(1-'5.Closing Stock &amp; W Capital'!$D$16))+(B161*'5.Closing Stock &amp; W Capital'!$D$16))*$C220*E$172</f>
        <v>0</v>
      </c>
      <c r="F220" s="194">
        <f>((D161*(1-'5.Closing Stock &amp; W Capital'!$D$16))+(C161*'5.Closing Stock &amp; W Capital'!$D$16))*$C220*F$172</f>
        <v>0</v>
      </c>
      <c r="G220" s="194">
        <f>((E161*(1-'5.Closing Stock &amp; W Capital'!$D$16))+(D161*'5.Closing Stock &amp; W Capital'!$D$16))*$C220*G$172</f>
        <v>0</v>
      </c>
      <c r="H220" s="194">
        <f>((F161*(1-'5.Closing Stock &amp; W Capital'!$D$16))+(E161*'5.Closing Stock &amp; W Capital'!$D$16))*$C220*H$172</f>
        <v>0</v>
      </c>
      <c r="I220" s="194">
        <f>((G161*(1-'5.Closing Stock &amp; W Capital'!$D$16))+(F161*'5.Closing Stock &amp; W Capital'!$D$16))*$C220*I$172</f>
        <v>0</v>
      </c>
      <c r="J220" s="194">
        <f>((H161*(1-'5.Closing Stock &amp; W Capital'!$D$16))+(G161*'5.Closing Stock &amp; W Capital'!$D$16))*$C220*J$172</f>
        <v>0</v>
      </c>
      <c r="K220" s="89"/>
      <c r="L220" s="89"/>
    </row>
    <row r="221" spans="1:12" x14ac:dyDescent="0.2">
      <c r="A221" s="92">
        <f t="shared" ref="A221:A223" si="36">A162</f>
        <v>0</v>
      </c>
      <c r="B221" s="387" t="s">
        <v>363</v>
      </c>
      <c r="C221" s="406"/>
      <c r="D221" s="194">
        <f>(B162*(1-'5.Closing Stock &amp; W Capital'!$D$16))*$C221*D$172</f>
        <v>0</v>
      </c>
      <c r="E221" s="194">
        <f>((C162*(1-'5.Closing Stock &amp; W Capital'!$D$16))+(B162*'5.Closing Stock &amp; W Capital'!$D$16))*$C221*E$172</f>
        <v>0</v>
      </c>
      <c r="F221" s="194">
        <f>((D162*(1-'5.Closing Stock &amp; W Capital'!$D$16))+(C162*'5.Closing Stock &amp; W Capital'!$D$16))*$C221*F$172</f>
        <v>0</v>
      </c>
      <c r="G221" s="194">
        <f>((E162*(1-'5.Closing Stock &amp; W Capital'!$D$16))+(D162*'5.Closing Stock &amp; W Capital'!$D$16))*$C221*G$172</f>
        <v>0</v>
      </c>
      <c r="H221" s="194">
        <f>((F162*(1-'5.Closing Stock &amp; W Capital'!$D$16))+(E162*'5.Closing Stock &amp; W Capital'!$D$16))*$C221*H$172</f>
        <v>0</v>
      </c>
      <c r="I221" s="194">
        <f>((G162*(1-'5.Closing Stock &amp; W Capital'!$D$16))+(F162*'5.Closing Stock &amp; W Capital'!$D$16))*$C221*I$172</f>
        <v>0</v>
      </c>
      <c r="J221" s="194">
        <f>((H162*(1-'5.Closing Stock &amp; W Capital'!$D$16))+(G162*'5.Closing Stock &amp; W Capital'!$D$16))*$C221*J$172</f>
        <v>0</v>
      </c>
      <c r="K221" s="89"/>
      <c r="L221" s="89"/>
    </row>
    <row r="222" spans="1:12" x14ac:dyDescent="0.2">
      <c r="A222" s="92">
        <f t="shared" si="36"/>
        <v>0</v>
      </c>
      <c r="B222" s="387" t="s">
        <v>363</v>
      </c>
      <c r="C222" s="406"/>
      <c r="D222" s="194">
        <f>(B163*(1-'5.Closing Stock &amp; W Capital'!$D$16))*$C222*D$172</f>
        <v>0</v>
      </c>
      <c r="E222" s="194">
        <f>((C163*(1-'5.Closing Stock &amp; W Capital'!$D$16))+(B163*'5.Closing Stock &amp; W Capital'!$D$16))*$C222*E$172</f>
        <v>0</v>
      </c>
      <c r="F222" s="194">
        <f>((D163*(1-'5.Closing Stock &amp; W Capital'!$D$16))+(C163*'5.Closing Stock &amp; W Capital'!$D$16))*$C222*F$172</f>
        <v>0</v>
      </c>
      <c r="G222" s="194">
        <f>((E163*(1-'5.Closing Stock &amp; W Capital'!$D$16))+(D163*'5.Closing Stock &amp; W Capital'!$D$16))*$C222*G$172</f>
        <v>0</v>
      </c>
      <c r="H222" s="194">
        <f>((F163*(1-'5.Closing Stock &amp; W Capital'!$D$16))+(E163*'5.Closing Stock &amp; W Capital'!$D$16))*$C222*H$172</f>
        <v>0</v>
      </c>
      <c r="I222" s="194">
        <f>((G163*(1-'5.Closing Stock &amp; W Capital'!$D$16))+(F163*'5.Closing Stock &amp; W Capital'!$D$16))*$C222*I$172</f>
        <v>0</v>
      </c>
      <c r="J222" s="194">
        <f>((H163*(1-'5.Closing Stock &amp; W Capital'!$D$16))+(G163*'5.Closing Stock &amp; W Capital'!$D$16))*$C222*J$172</f>
        <v>0</v>
      </c>
      <c r="K222" s="89"/>
      <c r="L222" s="89"/>
    </row>
    <row r="223" spans="1:12" x14ac:dyDescent="0.2">
      <c r="A223" s="92">
        <f t="shared" si="36"/>
        <v>0</v>
      </c>
      <c r="B223" s="387" t="s">
        <v>363</v>
      </c>
      <c r="C223" s="406"/>
      <c r="D223" s="194">
        <f>(B164*(1-'5.Closing Stock &amp; W Capital'!$D$16))*$C223*D$172</f>
        <v>0</v>
      </c>
      <c r="E223" s="194">
        <f>((C164*(1-'5.Closing Stock &amp; W Capital'!$D$16))+(B164*'5.Closing Stock &amp; W Capital'!$D$16))*$C223*E$172</f>
        <v>0</v>
      </c>
      <c r="F223" s="194">
        <f>((D164*(1-'5.Closing Stock &amp; W Capital'!$D$16))+(C164*'5.Closing Stock &amp; W Capital'!$D$16))*$C223*F$172</f>
        <v>0</v>
      </c>
      <c r="G223" s="194">
        <f>((E164*(1-'5.Closing Stock &amp; W Capital'!$D$16))+(D164*'5.Closing Stock &amp; W Capital'!$D$16))*$C223*G$172</f>
        <v>0</v>
      </c>
      <c r="H223" s="194">
        <f>((F164*(1-'5.Closing Stock &amp; W Capital'!$D$16))+(E164*'5.Closing Stock &amp; W Capital'!$D$16))*$C223*H$172</f>
        <v>0</v>
      </c>
      <c r="I223" s="194">
        <f>((G164*(1-'5.Closing Stock &amp; W Capital'!$D$16))+(F164*'5.Closing Stock &amp; W Capital'!$D$16))*$C223*I$172</f>
        <v>0</v>
      </c>
      <c r="J223" s="194">
        <f>((H164*(1-'5.Closing Stock &amp; W Capital'!$D$16))+(G164*'5.Closing Stock &amp; W Capital'!$D$16))*$C223*J$172</f>
        <v>0</v>
      </c>
      <c r="K223" s="89"/>
      <c r="L223" s="89"/>
    </row>
    <row r="224" spans="1:12" x14ac:dyDescent="0.2">
      <c r="A224" s="92" t="str">
        <f t="shared" ref="A224:A227" si="37">A165</f>
        <v>Pomegranate</v>
      </c>
      <c r="B224" s="387" t="s">
        <v>363</v>
      </c>
      <c r="C224" s="406">
        <v>5000</v>
      </c>
      <c r="D224" s="194">
        <f>(B165*(1-'5.Closing Stock &amp; W Capital'!$D$16))*$C224*D$172</f>
        <v>0</v>
      </c>
      <c r="E224" s="194">
        <f>((C165*(1-'5.Closing Stock &amp; W Capital'!$D$16))+(B165*'5.Closing Stock &amp; W Capital'!$D$16))*$C224*E$172</f>
        <v>0</v>
      </c>
      <c r="F224" s="194">
        <f>((D165*(1-'5.Closing Stock &amp; W Capital'!$D$16))+(C165*'5.Closing Stock &amp; W Capital'!$D$16))*$C224*F$172</f>
        <v>0</v>
      </c>
      <c r="G224" s="194">
        <f>((E165*(1-'5.Closing Stock &amp; W Capital'!$D$16))+(D165*'5.Closing Stock &amp; W Capital'!$D$16))*$C224*G$172</f>
        <v>0</v>
      </c>
      <c r="H224" s="194">
        <f>((F165*(1-'5.Closing Stock &amp; W Capital'!$D$16))+(E165*'5.Closing Stock &amp; W Capital'!$D$16))*$C224*H$172</f>
        <v>0</v>
      </c>
      <c r="I224" s="194">
        <f>((G165*(1-'5.Closing Stock &amp; W Capital'!$D$16))+(F165*'5.Closing Stock &amp; W Capital'!$D$16))*$C224*I$172</f>
        <v>0</v>
      </c>
      <c r="J224" s="194">
        <f>((H165*(1-'5.Closing Stock &amp; W Capital'!$D$16))+(G165*'5.Closing Stock &amp; W Capital'!$D$16))*$C224*J$172</f>
        <v>0</v>
      </c>
      <c r="K224" s="89"/>
      <c r="L224" s="89"/>
    </row>
    <row r="225" spans="1:12" x14ac:dyDescent="0.2">
      <c r="A225" s="92" t="str">
        <f t="shared" si="37"/>
        <v>Custard Apple</v>
      </c>
      <c r="B225" s="387" t="s">
        <v>363</v>
      </c>
      <c r="C225" s="406"/>
      <c r="D225" s="194">
        <f>(B166*(1-'5.Closing Stock &amp; W Capital'!$D$16))*$C225*D$172</f>
        <v>0</v>
      </c>
      <c r="E225" s="194">
        <f>((C166*(1-'5.Closing Stock &amp; W Capital'!$D$16))+(B166*'5.Closing Stock &amp; W Capital'!$D$16))*$C225*E$172</f>
        <v>0</v>
      </c>
      <c r="F225" s="194">
        <f>((D166*(1-'5.Closing Stock &amp; W Capital'!$D$16))+(C166*'5.Closing Stock &amp; W Capital'!$D$16))*$C225*F$172</f>
        <v>0</v>
      </c>
      <c r="G225" s="194">
        <f>((E166*(1-'5.Closing Stock &amp; W Capital'!$D$16))+(D166*'5.Closing Stock &amp; W Capital'!$D$16))*$C225*G$172</f>
        <v>0</v>
      </c>
      <c r="H225" s="194">
        <f>((F166*(1-'5.Closing Stock &amp; W Capital'!$D$16))+(E166*'5.Closing Stock &amp; W Capital'!$D$16))*$C225*H$172</f>
        <v>0</v>
      </c>
      <c r="I225" s="194">
        <f>((G166*(1-'5.Closing Stock &amp; W Capital'!$D$16))+(F166*'5.Closing Stock &amp; W Capital'!$D$16))*$C225*I$172</f>
        <v>0</v>
      </c>
      <c r="J225" s="194">
        <f>((H166*(1-'5.Closing Stock &amp; W Capital'!$D$16))+(G166*'5.Closing Stock &amp; W Capital'!$D$16))*$C225*J$172</f>
        <v>0</v>
      </c>
      <c r="K225" s="89"/>
      <c r="L225" s="89"/>
    </row>
    <row r="226" spans="1:12" x14ac:dyDescent="0.2">
      <c r="A226" s="92" t="str">
        <f t="shared" si="37"/>
        <v>Guava</v>
      </c>
      <c r="B226" s="387" t="s">
        <v>363</v>
      </c>
      <c r="C226" s="406"/>
      <c r="D226" s="194">
        <f>(B167*(1-'5.Closing Stock &amp; W Capital'!$D$16))*$C226*D$172</f>
        <v>0</v>
      </c>
      <c r="E226" s="194">
        <f>((C167*(1-'5.Closing Stock &amp; W Capital'!$D$16))+(B167*'5.Closing Stock &amp; W Capital'!$D$16))*$C226*E$172</f>
        <v>0</v>
      </c>
      <c r="F226" s="194">
        <f>((D167*(1-'5.Closing Stock &amp; W Capital'!$D$16))+(C167*'5.Closing Stock &amp; W Capital'!$D$16))*$C226*F$172</f>
        <v>0</v>
      </c>
      <c r="G226" s="194">
        <f>((E167*(1-'5.Closing Stock &amp; W Capital'!$D$16))+(D167*'5.Closing Stock &amp; W Capital'!$D$16))*$C226*G$172</f>
        <v>0</v>
      </c>
      <c r="H226" s="194">
        <f>((F167*(1-'5.Closing Stock &amp; W Capital'!$D$16))+(E167*'5.Closing Stock &amp; W Capital'!$D$16))*$C226*H$172</f>
        <v>0</v>
      </c>
      <c r="I226" s="194">
        <f>((G167*(1-'5.Closing Stock &amp; W Capital'!$D$16))+(F167*'5.Closing Stock &amp; W Capital'!$D$16))*$C226*I$172</f>
        <v>0</v>
      </c>
      <c r="J226" s="194">
        <f>((H167*(1-'5.Closing Stock &amp; W Capital'!$D$16))+(G167*'5.Closing Stock &amp; W Capital'!$D$16))*$C226*J$172</f>
        <v>0</v>
      </c>
      <c r="K226" s="89"/>
      <c r="L226" s="89"/>
    </row>
    <row r="227" spans="1:12" x14ac:dyDescent="0.2">
      <c r="A227" s="92" t="str">
        <f t="shared" si="37"/>
        <v>Citrus</v>
      </c>
      <c r="B227" s="387" t="s">
        <v>363</v>
      </c>
      <c r="C227" s="406"/>
      <c r="D227" s="194">
        <f>(B168*(1-'5.Closing Stock &amp; W Capital'!$D$16))*$C227*D$172</f>
        <v>0</v>
      </c>
      <c r="E227" s="194">
        <f>((C168*(1-'5.Closing Stock &amp; W Capital'!$D$16))+(B168*'5.Closing Stock &amp; W Capital'!$D$16))*$C227*E$172</f>
        <v>0</v>
      </c>
      <c r="F227" s="194">
        <f>((D168*(1-'5.Closing Stock &amp; W Capital'!$D$16))+(C168*'5.Closing Stock &amp; W Capital'!$D$16))*$C227*F$172</f>
        <v>0</v>
      </c>
      <c r="G227" s="194">
        <f>((E168*(1-'5.Closing Stock &amp; W Capital'!$D$16))+(D168*'5.Closing Stock &amp; W Capital'!$D$16))*$C227*G$172</f>
        <v>0</v>
      </c>
      <c r="H227" s="194">
        <f>((F168*(1-'5.Closing Stock &amp; W Capital'!$D$16))+(E168*'5.Closing Stock &amp; W Capital'!$D$16))*$C227*H$172</f>
        <v>0</v>
      </c>
      <c r="I227" s="194">
        <f>((G168*(1-'5.Closing Stock &amp; W Capital'!$D$16))+(F168*'5.Closing Stock &amp; W Capital'!$D$16))*$C227*I$172</f>
        <v>0</v>
      </c>
      <c r="J227" s="194">
        <f>((H168*(1-'5.Closing Stock &amp; W Capital'!$D$16))+(G168*'5.Closing Stock &amp; W Capital'!$D$16))*$C227*J$172</f>
        <v>0</v>
      </c>
      <c r="K227" s="89"/>
      <c r="L227" s="89"/>
    </row>
    <row r="228" spans="1:12" x14ac:dyDescent="0.2">
      <c r="A228" s="92"/>
      <c r="B228" s="403"/>
      <c r="C228" s="403"/>
      <c r="D228" s="90"/>
      <c r="E228" s="90"/>
      <c r="F228" s="90"/>
      <c r="G228" s="90"/>
      <c r="H228" s="90"/>
      <c r="I228" s="90"/>
      <c r="J228" s="90"/>
      <c r="K228" s="89"/>
      <c r="L228" s="89"/>
    </row>
    <row r="229" spans="1:12" x14ac:dyDescent="0.2">
      <c r="A229" s="92" t="s">
        <v>143</v>
      </c>
      <c r="B229" s="403"/>
      <c r="C229" s="403"/>
      <c r="D229" s="196">
        <f>SUM(D178:D228)</f>
        <v>65127868.435980007</v>
      </c>
      <c r="E229" s="196">
        <f t="shared" ref="E229:J229" si="38">SUM(E178:E228)</f>
        <v>86861339.68049477</v>
      </c>
      <c r="F229" s="196">
        <f t="shared" si="38"/>
        <v>109517791.1462326</v>
      </c>
      <c r="G229" s="196">
        <f t="shared" si="38"/>
        <v>134222734.409343</v>
      </c>
      <c r="H229" s="196">
        <f t="shared" si="38"/>
        <v>161124377.52089894</v>
      </c>
      <c r="I229" s="196">
        <f t="shared" si="38"/>
        <v>190380628.10758704</v>
      </c>
      <c r="J229" s="196">
        <f t="shared" si="38"/>
        <v>206149906.83870089</v>
      </c>
      <c r="K229" s="89"/>
      <c r="L229" s="89"/>
    </row>
    <row r="230" spans="1:12" x14ac:dyDescent="0.2">
      <c r="A230" s="90"/>
      <c r="B230" s="387"/>
      <c r="C230" s="387"/>
      <c r="D230" s="90"/>
      <c r="E230" s="90"/>
      <c r="F230" s="90"/>
      <c r="G230" s="90"/>
      <c r="H230" s="90"/>
      <c r="I230" s="90"/>
      <c r="J230" s="90"/>
      <c r="K230" s="89"/>
      <c r="L230" s="89"/>
    </row>
    <row r="231" spans="1:12" x14ac:dyDescent="0.2">
      <c r="A231" s="92" t="s">
        <v>142</v>
      </c>
      <c r="B231" s="403"/>
      <c r="C231" s="403"/>
      <c r="D231" s="90"/>
      <c r="E231" s="90"/>
      <c r="F231" s="90"/>
      <c r="G231" s="90"/>
      <c r="H231" s="90"/>
      <c r="I231" s="90"/>
      <c r="J231" s="90"/>
      <c r="K231" s="89"/>
      <c r="L231" s="89"/>
    </row>
    <row r="232" spans="1:12" x14ac:dyDescent="0.2">
      <c r="A232" s="92" t="s">
        <v>314</v>
      </c>
      <c r="B232" s="403"/>
      <c r="C232" s="387"/>
      <c r="D232" s="90"/>
      <c r="E232" s="90"/>
      <c r="F232" s="90"/>
      <c r="G232" s="90"/>
      <c r="H232" s="90"/>
      <c r="I232" s="90"/>
      <c r="J232" s="90"/>
      <c r="K232" s="89"/>
      <c r="L232" s="89"/>
    </row>
    <row r="233" spans="1:12" x14ac:dyDescent="0.2">
      <c r="A233" s="90" t="str">
        <f t="shared" ref="A233:A254" si="39">A178</f>
        <v>Soybean</v>
      </c>
      <c r="B233" s="387" t="s">
        <v>363</v>
      </c>
      <c r="C233" s="388">
        <v>5400</v>
      </c>
      <c r="D233" s="91">
        <f>B68*$C$233*D$172</f>
        <v>6086178.0000000009</v>
      </c>
      <c r="E233" s="91">
        <f>C68*$C$233*E$172</f>
        <v>7988108.6250000009</v>
      </c>
      <c r="F233" s="91">
        <f>D68*$C$233*F172</f>
        <v>10065016.8675</v>
      </c>
      <c r="G233" s="91">
        <f>E68*$C$233*G172</f>
        <v>12329645.662687501</v>
      </c>
      <c r="H233" s="91">
        <f>F68*$C$233*H172</f>
        <v>14795574.795225004</v>
      </c>
      <c r="I233" s="91">
        <f>G68*$C$233*I172</f>
        <v>17477272.726859532</v>
      </c>
      <c r="J233" s="91">
        <f>H68*$C$233*J172</f>
        <v>20390151.514669456</v>
      </c>
      <c r="K233" s="89"/>
      <c r="L233" s="89"/>
    </row>
    <row r="234" spans="1:12" x14ac:dyDescent="0.2">
      <c r="A234" s="90" t="str">
        <f t="shared" si="39"/>
        <v>Red Gram/Tur</v>
      </c>
      <c r="B234" s="387" t="s">
        <v>363</v>
      </c>
      <c r="C234" s="388">
        <v>6400</v>
      </c>
      <c r="D234" s="91">
        <f>B69*$C$234*D$172</f>
        <v>24473520</v>
      </c>
      <c r="E234" s="91">
        <f t="shared" ref="E234:J234" si="40">C69*$C$234*E172</f>
        <v>32121495</v>
      </c>
      <c r="F234" s="91">
        <f t="shared" si="40"/>
        <v>40473083.700000003</v>
      </c>
      <c r="G234" s="91">
        <f t="shared" si="40"/>
        <v>49579527.532500006</v>
      </c>
      <c r="H234" s="91">
        <f t="shared" si="40"/>
        <v>59495433.039000012</v>
      </c>
      <c r="I234" s="91">
        <f t="shared" si="40"/>
        <v>70278980.277318761</v>
      </c>
      <c r="J234" s="91">
        <f t="shared" si="40"/>
        <v>81992143.656871885</v>
      </c>
      <c r="K234" s="89"/>
      <c r="L234" s="89"/>
    </row>
    <row r="235" spans="1:12" x14ac:dyDescent="0.2">
      <c r="A235" s="90" t="str">
        <f t="shared" si="39"/>
        <v>Paddy/Rice</v>
      </c>
      <c r="B235" s="387" t="s">
        <v>363</v>
      </c>
      <c r="C235" s="388"/>
      <c r="D235" s="91">
        <f>B70*$C$235*D$172</f>
        <v>0</v>
      </c>
      <c r="E235" s="91">
        <f t="shared" ref="E235:J235" si="41">C70*$C$235*E172</f>
        <v>0</v>
      </c>
      <c r="F235" s="91">
        <f t="shared" si="41"/>
        <v>0</v>
      </c>
      <c r="G235" s="91">
        <f t="shared" si="41"/>
        <v>0</v>
      </c>
      <c r="H235" s="91">
        <f t="shared" si="41"/>
        <v>0</v>
      </c>
      <c r="I235" s="91">
        <f t="shared" si="41"/>
        <v>0</v>
      </c>
      <c r="J235" s="91">
        <f t="shared" si="41"/>
        <v>0</v>
      </c>
      <c r="K235" s="89"/>
      <c r="L235" s="89"/>
    </row>
    <row r="236" spans="1:12" x14ac:dyDescent="0.2">
      <c r="A236" s="90" t="str">
        <f t="shared" si="39"/>
        <v>Green Gram/ Moong</v>
      </c>
      <c r="B236" s="387" t="s">
        <v>363</v>
      </c>
      <c r="C236" s="388">
        <v>6500</v>
      </c>
      <c r="D236" s="91">
        <f t="shared" ref="D236:J236" si="42">B71*$C$236*D$172</f>
        <v>7122456.25</v>
      </c>
      <c r="E236" s="91">
        <f t="shared" si="42"/>
        <v>9348223.828125</v>
      </c>
      <c r="F236" s="91">
        <f t="shared" si="42"/>
        <v>11778762.0234375</v>
      </c>
      <c r="G236" s="91">
        <f t="shared" si="42"/>
        <v>14428983.478710938</v>
      </c>
      <c r="H236" s="91">
        <f t="shared" si="42"/>
        <v>17314780.174453124</v>
      </c>
      <c r="I236" s="91">
        <f t="shared" si="42"/>
        <v>20453084.081072759</v>
      </c>
      <c r="J236" s="91">
        <f t="shared" si="42"/>
        <v>23861931.427918214</v>
      </c>
      <c r="K236" s="89"/>
      <c r="L236" s="89"/>
    </row>
    <row r="237" spans="1:12" x14ac:dyDescent="0.2">
      <c r="A237" s="90" t="str">
        <f t="shared" si="39"/>
        <v>Maize</v>
      </c>
      <c r="B237" s="387" t="s">
        <v>363</v>
      </c>
      <c r="C237" s="388"/>
      <c r="D237" s="91">
        <f t="shared" ref="D237:J237" si="43">B72*$C$237*D$172</f>
        <v>0</v>
      </c>
      <c r="E237" s="91">
        <f t="shared" si="43"/>
        <v>0</v>
      </c>
      <c r="F237" s="91">
        <f t="shared" si="43"/>
        <v>0</v>
      </c>
      <c r="G237" s="91">
        <f t="shared" si="43"/>
        <v>0</v>
      </c>
      <c r="H237" s="91">
        <f t="shared" si="43"/>
        <v>0</v>
      </c>
      <c r="I237" s="91">
        <f t="shared" si="43"/>
        <v>0</v>
      </c>
      <c r="J237" s="91">
        <f t="shared" si="43"/>
        <v>0</v>
      </c>
      <c r="K237" s="89"/>
      <c r="L237" s="89"/>
    </row>
    <row r="238" spans="1:12" x14ac:dyDescent="0.2">
      <c r="A238" s="90" t="str">
        <f t="shared" si="39"/>
        <v>Black Gram/Udid</v>
      </c>
      <c r="B238" s="387" t="s">
        <v>363</v>
      </c>
      <c r="C238" s="388">
        <v>6500</v>
      </c>
      <c r="D238" s="91">
        <f t="shared" ref="D238:J238" si="44">B73*$C$238*D$172</f>
        <v>523282.49999999994</v>
      </c>
      <c r="E238" s="91">
        <f t="shared" si="44"/>
        <v>686808.28125</v>
      </c>
      <c r="F238" s="91">
        <f t="shared" si="44"/>
        <v>865378.43437500007</v>
      </c>
      <c r="G238" s="91">
        <f t="shared" si="44"/>
        <v>1060088.5821093752</v>
      </c>
      <c r="H238" s="91">
        <f t="shared" si="44"/>
        <v>1272106.2985312501</v>
      </c>
      <c r="I238" s="91">
        <f t="shared" si="44"/>
        <v>1502675.5651400394</v>
      </c>
      <c r="J238" s="91">
        <f t="shared" si="44"/>
        <v>1753121.4926633795</v>
      </c>
      <c r="K238" s="89"/>
      <c r="L238" s="89"/>
    </row>
    <row r="239" spans="1:12" x14ac:dyDescent="0.2">
      <c r="A239" s="90" t="str">
        <f t="shared" si="39"/>
        <v>Bajra</v>
      </c>
      <c r="B239" s="387" t="s">
        <v>363</v>
      </c>
      <c r="C239" s="388">
        <v>2000</v>
      </c>
      <c r="D239" s="91">
        <f t="shared" ref="D239:J239" si="45">B74*$C$239*D$172</f>
        <v>175322</v>
      </c>
      <c r="E239" s="91">
        <f t="shared" si="45"/>
        <v>230110.125</v>
      </c>
      <c r="F239" s="91">
        <f t="shared" si="45"/>
        <v>289938.75750000001</v>
      </c>
      <c r="G239" s="91">
        <f t="shared" si="45"/>
        <v>355174.97793750005</v>
      </c>
      <c r="H239" s="91">
        <f t="shared" si="45"/>
        <v>426209.97352500004</v>
      </c>
      <c r="I239" s="91">
        <f t="shared" si="45"/>
        <v>503460.53122640634</v>
      </c>
      <c r="J239" s="91">
        <f t="shared" si="45"/>
        <v>587370.61976414069</v>
      </c>
      <c r="K239" s="89"/>
      <c r="L239" s="89"/>
    </row>
    <row r="240" spans="1:12" x14ac:dyDescent="0.2">
      <c r="A240" s="90" t="str">
        <f t="shared" si="39"/>
        <v>Jawar</v>
      </c>
      <c r="B240" s="387" t="s">
        <v>363</v>
      </c>
      <c r="C240" s="388"/>
      <c r="D240" s="91">
        <f t="shared" ref="D240:J240" si="46">B75*$C$240*D$172</f>
        <v>0</v>
      </c>
      <c r="E240" s="91">
        <f t="shared" si="46"/>
        <v>0</v>
      </c>
      <c r="F240" s="91">
        <f t="shared" si="46"/>
        <v>0</v>
      </c>
      <c r="G240" s="91">
        <f t="shared" si="46"/>
        <v>0</v>
      </c>
      <c r="H240" s="91">
        <f t="shared" si="46"/>
        <v>0</v>
      </c>
      <c r="I240" s="91">
        <f t="shared" si="46"/>
        <v>0</v>
      </c>
      <c r="J240" s="91">
        <f t="shared" si="46"/>
        <v>0</v>
      </c>
      <c r="K240" s="89"/>
      <c r="L240" s="89"/>
    </row>
    <row r="241" spans="1:12" x14ac:dyDescent="0.2">
      <c r="A241" s="90" t="str">
        <f t="shared" si="39"/>
        <v>Sunflower</v>
      </c>
      <c r="B241" s="387" t="s">
        <v>363</v>
      </c>
      <c r="C241" s="388"/>
      <c r="D241" s="91">
        <f t="shared" ref="D241:J241" si="47">B76*$C$241*D$172</f>
        <v>0</v>
      </c>
      <c r="E241" s="91">
        <f t="shared" si="47"/>
        <v>0</v>
      </c>
      <c r="F241" s="91">
        <f t="shared" si="47"/>
        <v>0</v>
      </c>
      <c r="G241" s="91">
        <f t="shared" si="47"/>
        <v>0</v>
      </c>
      <c r="H241" s="91">
        <f t="shared" si="47"/>
        <v>0</v>
      </c>
      <c r="I241" s="91">
        <f t="shared" si="47"/>
        <v>0</v>
      </c>
      <c r="J241" s="91">
        <f t="shared" si="47"/>
        <v>0</v>
      </c>
      <c r="K241" s="89"/>
      <c r="L241" s="89"/>
    </row>
    <row r="242" spans="1:12" x14ac:dyDescent="0.2">
      <c r="A242" s="90" t="str">
        <f t="shared" si="39"/>
        <v>Wheat</v>
      </c>
      <c r="B242" s="387" t="s">
        <v>363</v>
      </c>
      <c r="C242" s="388">
        <v>2500</v>
      </c>
      <c r="D242" s="91">
        <f t="shared" ref="D242:J242" si="48">B77*$C$242*D$172</f>
        <v>4830300</v>
      </c>
      <c r="E242" s="91">
        <f t="shared" si="48"/>
        <v>6339768.75</v>
      </c>
      <c r="F242" s="91">
        <f t="shared" si="48"/>
        <v>7988108.625</v>
      </c>
      <c r="G242" s="91">
        <f t="shared" si="48"/>
        <v>9785433.0656250007</v>
      </c>
      <c r="H242" s="91">
        <f t="shared" si="48"/>
        <v>11742519.678750003</v>
      </c>
      <c r="I242" s="91">
        <f t="shared" si="48"/>
        <v>13870851.37052344</v>
      </c>
      <c r="J242" s="91">
        <f t="shared" si="48"/>
        <v>16182659.932277346</v>
      </c>
      <c r="K242" s="89"/>
      <c r="L242" s="89"/>
    </row>
    <row r="243" spans="1:12" x14ac:dyDescent="0.2">
      <c r="A243" s="90" t="str">
        <f t="shared" si="39"/>
        <v>Bengal Gram/Channa</v>
      </c>
      <c r="B243" s="387" t="s">
        <v>363</v>
      </c>
      <c r="C243" s="388">
        <v>4700</v>
      </c>
      <c r="D243" s="91">
        <f t="shared" ref="D243:J243" si="49">B78*$C$243*D$172</f>
        <v>13621446.000000002</v>
      </c>
      <c r="E243" s="91">
        <f t="shared" si="49"/>
        <v>17878147.875</v>
      </c>
      <c r="F243" s="91">
        <f t="shared" si="49"/>
        <v>22526466.322500005</v>
      </c>
      <c r="G243" s="91">
        <f t="shared" si="49"/>
        <v>27594921.245062508</v>
      </c>
      <c r="H243" s="91">
        <f t="shared" si="49"/>
        <v>33113905.494075011</v>
      </c>
      <c r="I243" s="91">
        <f t="shared" si="49"/>
        <v>39115800.864876106</v>
      </c>
      <c r="J243" s="91">
        <f t="shared" si="49"/>
        <v>45635101.009022124</v>
      </c>
      <c r="K243" s="89"/>
      <c r="L243" s="89"/>
    </row>
    <row r="244" spans="1:12" x14ac:dyDescent="0.2">
      <c r="A244" s="90" t="str">
        <f t="shared" si="39"/>
        <v>Jawar</v>
      </c>
      <c r="B244" s="387" t="s">
        <v>363</v>
      </c>
      <c r="C244" s="388">
        <v>2000</v>
      </c>
      <c r="D244" s="91">
        <f t="shared" ref="D244:J244" si="50">B79*$C$244*D$172</f>
        <v>4418830.0000000009</v>
      </c>
      <c r="E244" s="91">
        <f t="shared" si="50"/>
        <v>5799714.375</v>
      </c>
      <c r="F244" s="91">
        <f t="shared" si="50"/>
        <v>7307640.1124999998</v>
      </c>
      <c r="G244" s="91">
        <f t="shared" si="50"/>
        <v>8951859.1378125008</v>
      </c>
      <c r="H244" s="91">
        <f t="shared" si="50"/>
        <v>10742230.965375002</v>
      </c>
      <c r="I244" s="91">
        <f t="shared" si="50"/>
        <v>12689260.327849222</v>
      </c>
      <c r="J244" s="91">
        <f t="shared" si="50"/>
        <v>0</v>
      </c>
      <c r="K244" s="89"/>
      <c r="L244" s="89"/>
    </row>
    <row r="245" spans="1:12" x14ac:dyDescent="0.2">
      <c r="A245" s="90" t="str">
        <f t="shared" si="39"/>
        <v>Maize</v>
      </c>
      <c r="B245" s="387" t="s">
        <v>363</v>
      </c>
      <c r="C245" s="388">
        <v>1580</v>
      </c>
      <c r="D245" s="91">
        <f t="shared" ref="D245:J245" si="51">B80*$C$245*D$172</f>
        <v>565324</v>
      </c>
      <c r="E245" s="91">
        <f t="shared" si="51"/>
        <v>741987.75</v>
      </c>
      <c r="F245" s="91">
        <f t="shared" si="51"/>
        <v>934904.56499999994</v>
      </c>
      <c r="G245" s="91">
        <f t="shared" si="51"/>
        <v>1145258.092125</v>
      </c>
      <c r="H245" s="91">
        <f t="shared" si="51"/>
        <v>1374309.71055</v>
      </c>
      <c r="I245" s="91">
        <f t="shared" si="51"/>
        <v>1623403.3455871874</v>
      </c>
      <c r="J245" s="91">
        <f t="shared" si="51"/>
        <v>1893970.5698517186</v>
      </c>
      <c r="K245" s="89"/>
      <c r="L245" s="89"/>
    </row>
    <row r="246" spans="1:12" x14ac:dyDescent="0.2">
      <c r="A246" s="90" t="str">
        <f t="shared" si="39"/>
        <v>Safflower</v>
      </c>
      <c r="B246" s="387" t="s">
        <v>363</v>
      </c>
      <c r="C246" s="388"/>
      <c r="D246" s="91">
        <f t="shared" ref="D246:J246" si="52">B81*$C$246*D$172</f>
        <v>0</v>
      </c>
      <c r="E246" s="91">
        <f t="shared" si="52"/>
        <v>0</v>
      </c>
      <c r="F246" s="91">
        <f t="shared" si="52"/>
        <v>0</v>
      </c>
      <c r="G246" s="91">
        <f t="shared" si="52"/>
        <v>0</v>
      </c>
      <c r="H246" s="91">
        <f t="shared" si="52"/>
        <v>0</v>
      </c>
      <c r="I246" s="91">
        <f t="shared" si="52"/>
        <v>0</v>
      </c>
      <c r="J246" s="91">
        <f t="shared" si="52"/>
        <v>0</v>
      </c>
      <c r="K246" s="89"/>
      <c r="L246" s="89"/>
    </row>
    <row r="247" spans="1:12" x14ac:dyDescent="0.2">
      <c r="A247" s="90">
        <f t="shared" si="39"/>
        <v>0</v>
      </c>
      <c r="B247" s="387" t="s">
        <v>363</v>
      </c>
      <c r="C247" s="388"/>
      <c r="D247" s="91">
        <f t="shared" ref="D247:J247" si="53">B82*$C$247*D$172</f>
        <v>0</v>
      </c>
      <c r="E247" s="91">
        <f t="shared" si="53"/>
        <v>0</v>
      </c>
      <c r="F247" s="91">
        <f t="shared" si="53"/>
        <v>0</v>
      </c>
      <c r="G247" s="91">
        <f t="shared" si="53"/>
        <v>0</v>
      </c>
      <c r="H247" s="91">
        <f t="shared" si="53"/>
        <v>0</v>
      </c>
      <c r="I247" s="91">
        <f t="shared" si="53"/>
        <v>0</v>
      </c>
      <c r="J247" s="91">
        <f t="shared" si="53"/>
        <v>0</v>
      </c>
      <c r="K247" s="89"/>
      <c r="L247" s="89"/>
    </row>
    <row r="248" spans="1:12" x14ac:dyDescent="0.2">
      <c r="A248" s="90">
        <f t="shared" si="39"/>
        <v>0</v>
      </c>
      <c r="B248" s="387" t="s">
        <v>363</v>
      </c>
      <c r="C248" s="388"/>
      <c r="D248" s="91">
        <f t="shared" ref="D248:J248" si="54">B83*$C$248*D$172</f>
        <v>0</v>
      </c>
      <c r="E248" s="91">
        <f t="shared" si="54"/>
        <v>0</v>
      </c>
      <c r="F248" s="91">
        <f t="shared" si="54"/>
        <v>0</v>
      </c>
      <c r="G248" s="91">
        <f t="shared" si="54"/>
        <v>0</v>
      </c>
      <c r="H248" s="91">
        <f t="shared" si="54"/>
        <v>0</v>
      </c>
      <c r="I248" s="91">
        <f t="shared" si="54"/>
        <v>0</v>
      </c>
      <c r="J248" s="91">
        <f t="shared" si="54"/>
        <v>0</v>
      </c>
      <c r="K248" s="89"/>
      <c r="L248" s="89"/>
    </row>
    <row r="249" spans="1:12" x14ac:dyDescent="0.2">
      <c r="A249" s="90">
        <f t="shared" si="39"/>
        <v>0</v>
      </c>
      <c r="B249" s="387" t="s">
        <v>363</v>
      </c>
      <c r="C249" s="388"/>
      <c r="D249" s="91">
        <f t="shared" ref="D249:J255" si="55">B84*$C249*D$172</f>
        <v>0</v>
      </c>
      <c r="E249" s="91">
        <f t="shared" si="55"/>
        <v>0</v>
      </c>
      <c r="F249" s="91">
        <f t="shared" si="55"/>
        <v>0</v>
      </c>
      <c r="G249" s="91">
        <f t="shared" si="55"/>
        <v>0</v>
      </c>
      <c r="H249" s="91">
        <f t="shared" si="55"/>
        <v>0</v>
      </c>
      <c r="I249" s="91">
        <f t="shared" si="55"/>
        <v>0</v>
      </c>
      <c r="J249" s="91">
        <f t="shared" si="55"/>
        <v>0</v>
      </c>
      <c r="K249" s="89"/>
      <c r="L249" s="89"/>
    </row>
    <row r="250" spans="1:12" x14ac:dyDescent="0.2">
      <c r="A250" s="90" t="str">
        <f t="shared" si="39"/>
        <v>Groundnut</v>
      </c>
      <c r="B250" s="387" t="s">
        <v>363</v>
      </c>
      <c r="C250" s="388"/>
      <c r="D250" s="91">
        <f t="shared" si="55"/>
        <v>0</v>
      </c>
      <c r="E250" s="91">
        <f t="shared" si="55"/>
        <v>0</v>
      </c>
      <c r="F250" s="91">
        <f t="shared" si="55"/>
        <v>0</v>
      </c>
      <c r="G250" s="91">
        <f t="shared" si="55"/>
        <v>0</v>
      </c>
      <c r="H250" s="91">
        <f t="shared" si="55"/>
        <v>0</v>
      </c>
      <c r="I250" s="91">
        <f t="shared" si="55"/>
        <v>0</v>
      </c>
      <c r="J250" s="91">
        <f t="shared" si="55"/>
        <v>0</v>
      </c>
      <c r="K250" s="89"/>
      <c r="L250" s="89"/>
    </row>
    <row r="251" spans="1:12" x14ac:dyDescent="0.2">
      <c r="A251" s="90">
        <f t="shared" si="39"/>
        <v>0</v>
      </c>
      <c r="B251" s="387" t="s">
        <v>363</v>
      </c>
      <c r="C251" s="388"/>
      <c r="D251" s="91">
        <f t="shared" si="55"/>
        <v>0</v>
      </c>
      <c r="E251" s="91">
        <f t="shared" si="55"/>
        <v>0</v>
      </c>
      <c r="F251" s="91">
        <f t="shared" si="55"/>
        <v>0</v>
      </c>
      <c r="G251" s="91">
        <f t="shared" si="55"/>
        <v>0</v>
      </c>
      <c r="H251" s="91">
        <f t="shared" si="55"/>
        <v>0</v>
      </c>
      <c r="I251" s="91">
        <f t="shared" si="55"/>
        <v>0</v>
      </c>
      <c r="J251" s="91">
        <f t="shared" si="55"/>
        <v>0</v>
      </c>
      <c r="K251" s="89"/>
      <c r="L251" s="89"/>
    </row>
    <row r="252" spans="1:12" x14ac:dyDescent="0.2">
      <c r="A252" s="90">
        <f t="shared" si="39"/>
        <v>0</v>
      </c>
      <c r="B252" s="387" t="s">
        <v>363</v>
      </c>
      <c r="C252" s="388"/>
      <c r="D252" s="91">
        <f t="shared" si="55"/>
        <v>0</v>
      </c>
      <c r="E252" s="91">
        <f t="shared" si="55"/>
        <v>0</v>
      </c>
      <c r="F252" s="91">
        <f t="shared" si="55"/>
        <v>0</v>
      </c>
      <c r="G252" s="91">
        <f t="shared" si="55"/>
        <v>0</v>
      </c>
      <c r="H252" s="91">
        <f t="shared" si="55"/>
        <v>0</v>
      </c>
      <c r="I252" s="91">
        <f t="shared" si="55"/>
        <v>0</v>
      </c>
      <c r="J252" s="91">
        <f t="shared" si="55"/>
        <v>0</v>
      </c>
      <c r="K252" s="89"/>
      <c r="L252" s="89"/>
    </row>
    <row r="253" spans="1:12" x14ac:dyDescent="0.2">
      <c r="A253" s="90">
        <f t="shared" si="39"/>
        <v>0</v>
      </c>
      <c r="B253" s="387" t="s">
        <v>363</v>
      </c>
      <c r="C253" s="388"/>
      <c r="D253" s="91">
        <f t="shared" si="55"/>
        <v>0</v>
      </c>
      <c r="E253" s="91">
        <f t="shared" si="55"/>
        <v>0</v>
      </c>
      <c r="F253" s="91">
        <f t="shared" si="55"/>
        <v>0</v>
      </c>
      <c r="G253" s="91">
        <f t="shared" si="55"/>
        <v>0</v>
      </c>
      <c r="H253" s="91">
        <f t="shared" si="55"/>
        <v>0</v>
      </c>
      <c r="I253" s="91">
        <f t="shared" si="55"/>
        <v>0</v>
      </c>
      <c r="J253" s="91">
        <f t="shared" si="55"/>
        <v>0</v>
      </c>
      <c r="K253" s="89"/>
      <c r="L253" s="89"/>
    </row>
    <row r="254" spans="1:12" x14ac:dyDescent="0.2">
      <c r="A254" s="90">
        <f t="shared" si="39"/>
        <v>0</v>
      </c>
      <c r="B254" s="387" t="s">
        <v>363</v>
      </c>
      <c r="C254" s="388"/>
      <c r="D254" s="91">
        <f t="shared" si="55"/>
        <v>0</v>
      </c>
      <c r="E254" s="91">
        <f t="shared" si="55"/>
        <v>0</v>
      </c>
      <c r="F254" s="91">
        <f t="shared" si="55"/>
        <v>0</v>
      </c>
      <c r="G254" s="91">
        <f t="shared" si="55"/>
        <v>0</v>
      </c>
      <c r="H254" s="91">
        <f t="shared" si="55"/>
        <v>0</v>
      </c>
      <c r="I254" s="91">
        <f t="shared" si="55"/>
        <v>0</v>
      </c>
      <c r="J254" s="91">
        <f t="shared" si="55"/>
        <v>0</v>
      </c>
      <c r="K254" s="89"/>
      <c r="L254" s="89"/>
    </row>
    <row r="255" spans="1:12" x14ac:dyDescent="0.2">
      <c r="A255" s="90">
        <f t="shared" ref="A255:A274" si="56">A201</f>
        <v>0</v>
      </c>
      <c r="B255" s="387"/>
      <c r="C255" s="388"/>
      <c r="D255" s="91">
        <f t="shared" si="55"/>
        <v>0</v>
      </c>
      <c r="E255" s="91">
        <f t="shared" si="55"/>
        <v>0</v>
      </c>
      <c r="F255" s="91">
        <f t="shared" si="55"/>
        <v>0</v>
      </c>
      <c r="G255" s="91">
        <f t="shared" si="55"/>
        <v>0</v>
      </c>
      <c r="H255" s="91">
        <f t="shared" si="55"/>
        <v>0</v>
      </c>
      <c r="I255" s="91">
        <f t="shared" si="55"/>
        <v>0</v>
      </c>
      <c r="J255" s="91">
        <f t="shared" si="55"/>
        <v>0</v>
      </c>
      <c r="K255" s="89"/>
      <c r="L255" s="89"/>
    </row>
    <row r="256" spans="1:12" x14ac:dyDescent="0.2">
      <c r="A256" s="92" t="str">
        <f t="shared" si="56"/>
        <v>Fruit  &amp; Vegetables Crop Production Details</v>
      </c>
      <c r="B256" s="387"/>
      <c r="C256" s="388"/>
      <c r="D256" s="91"/>
      <c r="E256" s="91"/>
      <c r="F256" s="91"/>
      <c r="G256" s="91"/>
      <c r="H256" s="91"/>
      <c r="I256" s="91"/>
      <c r="J256" s="91"/>
      <c r="K256" s="89"/>
      <c r="L256" s="89"/>
    </row>
    <row r="257" spans="1:12" x14ac:dyDescent="0.2">
      <c r="A257" s="90" t="str">
        <f t="shared" si="56"/>
        <v>Onion</v>
      </c>
      <c r="B257" s="387" t="s">
        <v>363</v>
      </c>
      <c r="C257" s="388">
        <v>1800</v>
      </c>
      <c r="D257" s="91">
        <f t="shared" ref="D257:D274" si="57">B92*$C257*D$172</f>
        <v>0</v>
      </c>
      <c r="E257" s="91">
        <f t="shared" ref="E257:E274" si="58">C92*$C257*E$172</f>
        <v>0</v>
      </c>
      <c r="F257" s="91">
        <f t="shared" ref="F257:F274" si="59">D92*$C257*F$172</f>
        <v>0</v>
      </c>
      <c r="G257" s="91">
        <f t="shared" ref="G257:G274" si="60">E92*$C257*G$172</f>
        <v>0</v>
      </c>
      <c r="H257" s="91">
        <f t="shared" ref="H257:H274" si="61">F92*$C257*H$172</f>
        <v>0</v>
      </c>
      <c r="I257" s="91">
        <f t="shared" ref="I257:I274" si="62">G92*$C257*I$172</f>
        <v>0</v>
      </c>
      <c r="J257" s="91">
        <f t="shared" ref="J257:J274" si="63">H92*$C257*J$172</f>
        <v>0</v>
      </c>
      <c r="K257" s="89"/>
      <c r="L257" s="89"/>
    </row>
    <row r="258" spans="1:12" x14ac:dyDescent="0.2">
      <c r="A258" s="90" t="str">
        <f t="shared" si="56"/>
        <v>Tomato</v>
      </c>
      <c r="B258" s="387" t="s">
        <v>363</v>
      </c>
      <c r="C258" s="388">
        <v>800</v>
      </c>
      <c r="D258" s="91">
        <f t="shared" si="57"/>
        <v>0</v>
      </c>
      <c r="E258" s="91">
        <f t="shared" si="58"/>
        <v>0</v>
      </c>
      <c r="F258" s="91">
        <f t="shared" si="59"/>
        <v>0</v>
      </c>
      <c r="G258" s="91">
        <f t="shared" si="60"/>
        <v>0</v>
      </c>
      <c r="H258" s="91">
        <f t="shared" si="61"/>
        <v>0</v>
      </c>
      <c r="I258" s="91">
        <f t="shared" si="62"/>
        <v>0</v>
      </c>
      <c r="J258" s="91">
        <f t="shared" si="63"/>
        <v>0</v>
      </c>
      <c r="K258" s="89"/>
      <c r="L258" s="89"/>
    </row>
    <row r="259" spans="1:12" x14ac:dyDescent="0.2">
      <c r="A259" s="90" t="str">
        <f t="shared" si="56"/>
        <v>Okra</v>
      </c>
      <c r="B259" s="387" t="s">
        <v>363</v>
      </c>
      <c r="C259" s="388">
        <v>1300</v>
      </c>
      <c r="D259" s="91">
        <f t="shared" si="57"/>
        <v>0</v>
      </c>
      <c r="E259" s="91">
        <f t="shared" si="58"/>
        <v>0</v>
      </c>
      <c r="F259" s="91">
        <f t="shared" si="59"/>
        <v>0</v>
      </c>
      <c r="G259" s="91">
        <f t="shared" si="60"/>
        <v>0</v>
      </c>
      <c r="H259" s="91">
        <f t="shared" si="61"/>
        <v>0</v>
      </c>
      <c r="I259" s="91">
        <f t="shared" si="62"/>
        <v>0</v>
      </c>
      <c r="J259" s="91">
        <f t="shared" si="63"/>
        <v>0</v>
      </c>
      <c r="K259" s="89"/>
      <c r="L259" s="89"/>
    </row>
    <row r="260" spans="1:12" x14ac:dyDescent="0.2">
      <c r="A260" s="90" t="str">
        <f t="shared" si="56"/>
        <v>Chilli</v>
      </c>
      <c r="B260" s="387" t="s">
        <v>363</v>
      </c>
      <c r="C260" s="388">
        <v>2800</v>
      </c>
      <c r="D260" s="91">
        <f t="shared" si="57"/>
        <v>0</v>
      </c>
      <c r="E260" s="91">
        <f t="shared" si="58"/>
        <v>0</v>
      </c>
      <c r="F260" s="91">
        <f t="shared" si="59"/>
        <v>0</v>
      </c>
      <c r="G260" s="91">
        <f t="shared" si="60"/>
        <v>0</v>
      </c>
      <c r="H260" s="91">
        <f t="shared" si="61"/>
        <v>0</v>
      </c>
      <c r="I260" s="91">
        <f t="shared" si="62"/>
        <v>0</v>
      </c>
      <c r="J260" s="91">
        <f t="shared" si="63"/>
        <v>0</v>
      </c>
      <c r="K260" s="89"/>
      <c r="L260" s="89"/>
    </row>
    <row r="261" spans="1:12" x14ac:dyDescent="0.2">
      <c r="A261" s="90" t="str">
        <f t="shared" si="56"/>
        <v>Potato</v>
      </c>
      <c r="B261" s="387" t="s">
        <v>363</v>
      </c>
      <c r="C261" s="388">
        <v>1300</v>
      </c>
      <c r="D261" s="91">
        <f t="shared" si="57"/>
        <v>0</v>
      </c>
      <c r="E261" s="91">
        <f t="shared" si="58"/>
        <v>0</v>
      </c>
      <c r="F261" s="91">
        <f t="shared" si="59"/>
        <v>0</v>
      </c>
      <c r="G261" s="91">
        <f t="shared" si="60"/>
        <v>0</v>
      </c>
      <c r="H261" s="91">
        <f t="shared" si="61"/>
        <v>0</v>
      </c>
      <c r="I261" s="91">
        <f t="shared" si="62"/>
        <v>0</v>
      </c>
      <c r="J261" s="91">
        <f t="shared" si="63"/>
        <v>0</v>
      </c>
      <c r="K261" s="89"/>
      <c r="L261" s="89"/>
    </row>
    <row r="262" spans="1:12" x14ac:dyDescent="0.2">
      <c r="A262" s="90">
        <f t="shared" si="56"/>
        <v>0</v>
      </c>
      <c r="B262" s="387" t="s">
        <v>363</v>
      </c>
      <c r="C262" s="388"/>
      <c r="D262" s="91">
        <f t="shared" si="57"/>
        <v>0</v>
      </c>
      <c r="E262" s="91">
        <f t="shared" si="58"/>
        <v>0</v>
      </c>
      <c r="F262" s="91">
        <f t="shared" si="59"/>
        <v>0</v>
      </c>
      <c r="G262" s="91">
        <f t="shared" si="60"/>
        <v>0</v>
      </c>
      <c r="H262" s="91">
        <f t="shared" si="61"/>
        <v>0</v>
      </c>
      <c r="I262" s="91">
        <f t="shared" si="62"/>
        <v>0</v>
      </c>
      <c r="J262" s="91">
        <f t="shared" si="63"/>
        <v>0</v>
      </c>
      <c r="K262" s="89"/>
      <c r="L262" s="89"/>
    </row>
    <row r="263" spans="1:12" x14ac:dyDescent="0.2">
      <c r="A263" s="90">
        <f t="shared" si="56"/>
        <v>0</v>
      </c>
      <c r="B263" s="387" t="s">
        <v>363</v>
      </c>
      <c r="C263" s="388"/>
      <c r="D263" s="91">
        <f t="shared" si="57"/>
        <v>0</v>
      </c>
      <c r="E263" s="91">
        <f t="shared" si="58"/>
        <v>0</v>
      </c>
      <c r="F263" s="91">
        <f t="shared" si="59"/>
        <v>0</v>
      </c>
      <c r="G263" s="91">
        <f t="shared" si="60"/>
        <v>0</v>
      </c>
      <c r="H263" s="91">
        <f t="shared" si="61"/>
        <v>0</v>
      </c>
      <c r="I263" s="91">
        <f t="shared" si="62"/>
        <v>0</v>
      </c>
      <c r="J263" s="91">
        <f t="shared" si="63"/>
        <v>0</v>
      </c>
      <c r="K263" s="89"/>
      <c r="L263" s="89"/>
    </row>
    <row r="264" spans="1:12" x14ac:dyDescent="0.2">
      <c r="A264" s="90">
        <f t="shared" si="56"/>
        <v>0</v>
      </c>
      <c r="B264" s="387" t="s">
        <v>363</v>
      </c>
      <c r="C264" s="388"/>
      <c r="D264" s="91">
        <f t="shared" si="57"/>
        <v>0</v>
      </c>
      <c r="E264" s="91">
        <f t="shared" si="58"/>
        <v>0</v>
      </c>
      <c r="F264" s="91">
        <f t="shared" si="59"/>
        <v>0</v>
      </c>
      <c r="G264" s="91">
        <f t="shared" si="60"/>
        <v>0</v>
      </c>
      <c r="H264" s="91">
        <f t="shared" si="61"/>
        <v>0</v>
      </c>
      <c r="I264" s="91">
        <f t="shared" si="62"/>
        <v>0</v>
      </c>
      <c r="J264" s="91">
        <f t="shared" si="63"/>
        <v>0</v>
      </c>
      <c r="K264" s="89"/>
      <c r="L264" s="89"/>
    </row>
    <row r="265" spans="1:12" x14ac:dyDescent="0.2">
      <c r="A265" s="90">
        <f t="shared" si="56"/>
        <v>0</v>
      </c>
      <c r="B265" s="387" t="s">
        <v>363</v>
      </c>
      <c r="C265" s="388"/>
      <c r="D265" s="91">
        <f t="shared" si="57"/>
        <v>0</v>
      </c>
      <c r="E265" s="91">
        <f t="shared" si="58"/>
        <v>0</v>
      </c>
      <c r="F265" s="91">
        <f t="shared" si="59"/>
        <v>0</v>
      </c>
      <c r="G265" s="91">
        <f t="shared" si="60"/>
        <v>0</v>
      </c>
      <c r="H265" s="91">
        <f t="shared" si="61"/>
        <v>0</v>
      </c>
      <c r="I265" s="91">
        <f t="shared" si="62"/>
        <v>0</v>
      </c>
      <c r="J265" s="91">
        <f t="shared" si="63"/>
        <v>0</v>
      </c>
      <c r="K265" s="89"/>
      <c r="L265" s="89"/>
    </row>
    <row r="266" spans="1:12" x14ac:dyDescent="0.2">
      <c r="A266" s="90" t="str">
        <f t="shared" si="56"/>
        <v>Onion</v>
      </c>
      <c r="B266" s="387" t="s">
        <v>363</v>
      </c>
      <c r="C266" s="388">
        <v>1800</v>
      </c>
      <c r="D266" s="91">
        <f t="shared" si="57"/>
        <v>0</v>
      </c>
      <c r="E266" s="91">
        <f t="shared" si="58"/>
        <v>0</v>
      </c>
      <c r="F266" s="91">
        <f t="shared" si="59"/>
        <v>0</v>
      </c>
      <c r="G266" s="91">
        <f t="shared" si="60"/>
        <v>0</v>
      </c>
      <c r="H266" s="91">
        <f t="shared" si="61"/>
        <v>0</v>
      </c>
      <c r="I266" s="91">
        <f t="shared" si="62"/>
        <v>0</v>
      </c>
      <c r="J266" s="91">
        <f t="shared" si="63"/>
        <v>0</v>
      </c>
      <c r="K266" s="89"/>
      <c r="L266" s="89"/>
    </row>
    <row r="267" spans="1:12" x14ac:dyDescent="0.2">
      <c r="A267" s="90" t="str">
        <f t="shared" si="56"/>
        <v>Tomato</v>
      </c>
      <c r="B267" s="387" t="s">
        <v>363</v>
      </c>
      <c r="C267" s="388">
        <v>800</v>
      </c>
      <c r="D267" s="91">
        <f t="shared" si="57"/>
        <v>0</v>
      </c>
      <c r="E267" s="91">
        <f t="shared" si="58"/>
        <v>0</v>
      </c>
      <c r="F267" s="91">
        <f t="shared" si="59"/>
        <v>0</v>
      </c>
      <c r="G267" s="91">
        <f t="shared" si="60"/>
        <v>0</v>
      </c>
      <c r="H267" s="91">
        <f t="shared" si="61"/>
        <v>0</v>
      </c>
      <c r="I267" s="91">
        <f t="shared" si="62"/>
        <v>0</v>
      </c>
      <c r="J267" s="91">
        <f t="shared" si="63"/>
        <v>0</v>
      </c>
      <c r="K267" s="89"/>
      <c r="L267" s="89"/>
    </row>
    <row r="268" spans="1:12" x14ac:dyDescent="0.2">
      <c r="A268" s="90" t="str">
        <f t="shared" si="56"/>
        <v>Okra</v>
      </c>
      <c r="B268" s="387" t="s">
        <v>363</v>
      </c>
      <c r="C268" s="388">
        <v>1300</v>
      </c>
      <c r="D268" s="91">
        <f t="shared" si="57"/>
        <v>0</v>
      </c>
      <c r="E268" s="91">
        <f t="shared" si="58"/>
        <v>0</v>
      </c>
      <c r="F268" s="91">
        <f t="shared" si="59"/>
        <v>0</v>
      </c>
      <c r="G268" s="91">
        <f t="shared" si="60"/>
        <v>0</v>
      </c>
      <c r="H268" s="91">
        <f t="shared" si="61"/>
        <v>0</v>
      </c>
      <c r="I268" s="91">
        <f t="shared" si="62"/>
        <v>0</v>
      </c>
      <c r="J268" s="91">
        <f t="shared" si="63"/>
        <v>0</v>
      </c>
      <c r="K268" s="89"/>
      <c r="L268" s="89"/>
    </row>
    <row r="269" spans="1:12" x14ac:dyDescent="0.2">
      <c r="A269" s="90" t="str">
        <f t="shared" si="56"/>
        <v>Chilli</v>
      </c>
      <c r="B269" s="387" t="s">
        <v>363</v>
      </c>
      <c r="C269" s="388">
        <v>2800</v>
      </c>
      <c r="D269" s="91">
        <f t="shared" si="57"/>
        <v>0</v>
      </c>
      <c r="E269" s="91">
        <f t="shared" si="58"/>
        <v>0</v>
      </c>
      <c r="F269" s="91">
        <f t="shared" si="59"/>
        <v>0</v>
      </c>
      <c r="G269" s="91">
        <f t="shared" si="60"/>
        <v>0</v>
      </c>
      <c r="H269" s="91">
        <f t="shared" si="61"/>
        <v>0</v>
      </c>
      <c r="I269" s="91">
        <f t="shared" si="62"/>
        <v>0</v>
      </c>
      <c r="J269" s="91">
        <f t="shared" si="63"/>
        <v>0</v>
      </c>
      <c r="K269" s="89"/>
      <c r="L269" s="89"/>
    </row>
    <row r="270" spans="1:12" x14ac:dyDescent="0.2">
      <c r="A270" s="90" t="str">
        <f t="shared" si="56"/>
        <v>Brinjal</v>
      </c>
      <c r="B270" s="387" t="s">
        <v>363</v>
      </c>
      <c r="C270" s="388">
        <v>1800</v>
      </c>
      <c r="D270" s="91">
        <f t="shared" si="57"/>
        <v>0</v>
      </c>
      <c r="E270" s="91">
        <f t="shared" si="58"/>
        <v>0</v>
      </c>
      <c r="F270" s="91">
        <f t="shared" si="59"/>
        <v>0</v>
      </c>
      <c r="G270" s="91">
        <f t="shared" si="60"/>
        <v>0</v>
      </c>
      <c r="H270" s="91">
        <f t="shared" si="61"/>
        <v>0</v>
      </c>
      <c r="I270" s="91">
        <f t="shared" si="62"/>
        <v>0</v>
      </c>
      <c r="J270" s="91">
        <f t="shared" si="63"/>
        <v>0</v>
      </c>
      <c r="K270" s="89"/>
      <c r="L270" s="89"/>
    </row>
    <row r="271" spans="1:12" x14ac:dyDescent="0.2">
      <c r="A271" s="90">
        <f t="shared" si="56"/>
        <v>0</v>
      </c>
      <c r="B271" s="387" t="s">
        <v>363</v>
      </c>
      <c r="C271" s="388"/>
      <c r="D271" s="91">
        <f t="shared" si="57"/>
        <v>0</v>
      </c>
      <c r="E271" s="91">
        <f t="shared" si="58"/>
        <v>0</v>
      </c>
      <c r="F271" s="91">
        <f t="shared" si="59"/>
        <v>0</v>
      </c>
      <c r="G271" s="91">
        <f t="shared" si="60"/>
        <v>0</v>
      </c>
      <c r="H271" s="91">
        <f t="shared" si="61"/>
        <v>0</v>
      </c>
      <c r="I271" s="91">
        <f t="shared" si="62"/>
        <v>0</v>
      </c>
      <c r="J271" s="91">
        <f t="shared" si="63"/>
        <v>0</v>
      </c>
      <c r="K271" s="89"/>
      <c r="L271" s="89"/>
    </row>
    <row r="272" spans="1:12" x14ac:dyDescent="0.2">
      <c r="A272" s="90">
        <f t="shared" si="56"/>
        <v>0</v>
      </c>
      <c r="B272" s="387" t="s">
        <v>363</v>
      </c>
      <c r="C272" s="388"/>
      <c r="D272" s="91">
        <f t="shared" si="57"/>
        <v>0</v>
      </c>
      <c r="E272" s="91">
        <f t="shared" si="58"/>
        <v>0</v>
      </c>
      <c r="F272" s="91">
        <f t="shared" si="59"/>
        <v>0</v>
      </c>
      <c r="G272" s="91">
        <f t="shared" si="60"/>
        <v>0</v>
      </c>
      <c r="H272" s="91">
        <f t="shared" si="61"/>
        <v>0</v>
      </c>
      <c r="I272" s="91">
        <f t="shared" si="62"/>
        <v>0</v>
      </c>
      <c r="J272" s="91">
        <f t="shared" si="63"/>
        <v>0</v>
      </c>
      <c r="K272" s="89"/>
      <c r="L272" s="89"/>
    </row>
    <row r="273" spans="1:12" x14ac:dyDescent="0.2">
      <c r="A273" s="90">
        <f t="shared" si="56"/>
        <v>0</v>
      </c>
      <c r="B273" s="387" t="s">
        <v>363</v>
      </c>
      <c r="C273" s="388"/>
      <c r="D273" s="91">
        <f t="shared" si="57"/>
        <v>0</v>
      </c>
      <c r="E273" s="91">
        <f t="shared" si="58"/>
        <v>0</v>
      </c>
      <c r="F273" s="91">
        <f t="shared" si="59"/>
        <v>0</v>
      </c>
      <c r="G273" s="91">
        <f t="shared" si="60"/>
        <v>0</v>
      </c>
      <c r="H273" s="91">
        <f t="shared" si="61"/>
        <v>0</v>
      </c>
      <c r="I273" s="91">
        <f t="shared" si="62"/>
        <v>0</v>
      </c>
      <c r="J273" s="91">
        <f t="shared" si="63"/>
        <v>0</v>
      </c>
      <c r="K273" s="89"/>
      <c r="L273" s="89"/>
    </row>
    <row r="274" spans="1:12" x14ac:dyDescent="0.2">
      <c r="A274" s="90">
        <f t="shared" si="56"/>
        <v>0</v>
      </c>
      <c r="B274" s="387" t="s">
        <v>363</v>
      </c>
      <c r="C274" s="388"/>
      <c r="D274" s="91">
        <f t="shared" si="57"/>
        <v>0</v>
      </c>
      <c r="E274" s="91">
        <f t="shared" si="58"/>
        <v>0</v>
      </c>
      <c r="F274" s="91">
        <f t="shared" si="59"/>
        <v>0</v>
      </c>
      <c r="G274" s="91">
        <f t="shared" si="60"/>
        <v>0</v>
      </c>
      <c r="H274" s="91">
        <f t="shared" si="61"/>
        <v>0</v>
      </c>
      <c r="I274" s="91">
        <f t="shared" si="62"/>
        <v>0</v>
      </c>
      <c r="J274" s="91">
        <f t="shared" si="63"/>
        <v>0</v>
      </c>
      <c r="K274" s="89"/>
      <c r="L274" s="89"/>
    </row>
    <row r="275" spans="1:12" x14ac:dyDescent="0.2">
      <c r="A275" s="90" t="str">
        <f>A224</f>
        <v>Pomegranate</v>
      </c>
      <c r="B275" s="387" t="s">
        <v>363</v>
      </c>
      <c r="C275" s="388">
        <v>4700</v>
      </c>
      <c r="D275" s="91">
        <f t="shared" ref="D275:J280" si="64">B113*$C275*D$172</f>
        <v>0</v>
      </c>
      <c r="E275" s="91">
        <f t="shared" si="64"/>
        <v>0</v>
      </c>
      <c r="F275" s="91">
        <f t="shared" si="64"/>
        <v>0</v>
      </c>
      <c r="G275" s="91">
        <f t="shared" si="64"/>
        <v>0</v>
      </c>
      <c r="H275" s="91">
        <f t="shared" si="64"/>
        <v>0</v>
      </c>
      <c r="I275" s="91">
        <f t="shared" si="64"/>
        <v>0</v>
      </c>
      <c r="J275" s="91">
        <f t="shared" si="64"/>
        <v>0</v>
      </c>
      <c r="K275" s="89"/>
      <c r="L275" s="89"/>
    </row>
    <row r="276" spans="1:12" x14ac:dyDescent="0.2">
      <c r="A276" s="90" t="str">
        <f>A225</f>
        <v>Custard Apple</v>
      </c>
      <c r="B276" s="387" t="s">
        <v>363</v>
      </c>
      <c r="C276" s="388"/>
      <c r="D276" s="91">
        <f t="shared" si="64"/>
        <v>0</v>
      </c>
      <c r="E276" s="91">
        <f t="shared" si="64"/>
        <v>0</v>
      </c>
      <c r="F276" s="91">
        <f t="shared" si="64"/>
        <v>0</v>
      </c>
      <c r="G276" s="91">
        <f t="shared" si="64"/>
        <v>0</v>
      </c>
      <c r="H276" s="91">
        <f t="shared" si="64"/>
        <v>0</v>
      </c>
      <c r="I276" s="91">
        <f t="shared" si="64"/>
        <v>0</v>
      </c>
      <c r="J276" s="91">
        <f t="shared" si="64"/>
        <v>0</v>
      </c>
      <c r="K276" s="89"/>
      <c r="L276" s="89"/>
    </row>
    <row r="277" spans="1:12" x14ac:dyDescent="0.2">
      <c r="A277" s="90" t="str">
        <f>A226</f>
        <v>Guava</v>
      </c>
      <c r="B277" s="387" t="s">
        <v>363</v>
      </c>
      <c r="C277" s="388"/>
      <c r="D277" s="91">
        <f t="shared" si="64"/>
        <v>0</v>
      </c>
      <c r="E277" s="91">
        <f t="shared" si="64"/>
        <v>0</v>
      </c>
      <c r="F277" s="91">
        <f t="shared" si="64"/>
        <v>0</v>
      </c>
      <c r="G277" s="91">
        <f t="shared" si="64"/>
        <v>0</v>
      </c>
      <c r="H277" s="91">
        <f t="shared" si="64"/>
        <v>0</v>
      </c>
      <c r="I277" s="91">
        <f t="shared" si="64"/>
        <v>0</v>
      </c>
      <c r="J277" s="91">
        <f t="shared" si="64"/>
        <v>0</v>
      </c>
      <c r="K277" s="89"/>
      <c r="L277" s="89"/>
    </row>
    <row r="278" spans="1:12" x14ac:dyDescent="0.2">
      <c r="A278" s="90" t="str">
        <f>A227</f>
        <v>Citrus</v>
      </c>
      <c r="B278" s="387" t="s">
        <v>363</v>
      </c>
      <c r="C278" s="388"/>
      <c r="D278" s="91">
        <f t="shared" si="64"/>
        <v>0</v>
      </c>
      <c r="E278" s="91">
        <f t="shared" si="64"/>
        <v>0</v>
      </c>
      <c r="F278" s="91">
        <f t="shared" si="64"/>
        <v>0</v>
      </c>
      <c r="G278" s="91">
        <f t="shared" si="64"/>
        <v>0</v>
      </c>
      <c r="H278" s="91">
        <f t="shared" si="64"/>
        <v>0</v>
      </c>
      <c r="I278" s="91">
        <f t="shared" si="64"/>
        <v>0</v>
      </c>
      <c r="J278" s="91">
        <f t="shared" si="64"/>
        <v>0</v>
      </c>
      <c r="K278" s="89"/>
      <c r="L278" s="89"/>
    </row>
    <row r="279" spans="1:12" x14ac:dyDescent="0.2">
      <c r="A279" s="90">
        <f>A228</f>
        <v>0</v>
      </c>
      <c r="B279" s="387" t="s">
        <v>363</v>
      </c>
      <c r="C279" s="388"/>
      <c r="D279" s="91">
        <f t="shared" si="64"/>
        <v>0</v>
      </c>
      <c r="E279" s="91">
        <f t="shared" si="64"/>
        <v>0</v>
      </c>
      <c r="F279" s="91">
        <f t="shared" si="64"/>
        <v>0</v>
      </c>
      <c r="G279" s="91">
        <f t="shared" si="64"/>
        <v>0</v>
      </c>
      <c r="H279" s="91">
        <f t="shared" si="64"/>
        <v>0</v>
      </c>
      <c r="I279" s="91">
        <f t="shared" si="64"/>
        <v>0</v>
      </c>
      <c r="J279" s="91">
        <f t="shared" si="64"/>
        <v>0</v>
      </c>
      <c r="K279" s="89"/>
      <c r="L279" s="89"/>
    </row>
    <row r="280" spans="1:12" x14ac:dyDescent="0.2">
      <c r="A280" s="90">
        <f>A230</f>
        <v>0</v>
      </c>
      <c r="B280" s="387"/>
      <c r="C280" s="388"/>
      <c r="D280" s="91">
        <f t="shared" si="64"/>
        <v>0</v>
      </c>
      <c r="E280" s="91">
        <f t="shared" si="64"/>
        <v>0</v>
      </c>
      <c r="F280" s="91">
        <f t="shared" si="64"/>
        <v>0</v>
      </c>
      <c r="G280" s="91">
        <f t="shared" si="64"/>
        <v>0</v>
      </c>
      <c r="H280" s="91">
        <f t="shared" si="64"/>
        <v>0</v>
      </c>
      <c r="I280" s="91">
        <f t="shared" si="64"/>
        <v>0</v>
      </c>
      <c r="J280" s="91">
        <f t="shared" si="64"/>
        <v>0</v>
      </c>
      <c r="K280" s="89"/>
      <c r="L280" s="89"/>
    </row>
    <row r="281" spans="1:12" x14ac:dyDescent="0.2">
      <c r="A281" s="90"/>
      <c r="B281" s="387"/>
      <c r="C281" s="388"/>
      <c r="D281" s="91"/>
      <c r="E281" s="91"/>
      <c r="F281" s="91"/>
      <c r="G281" s="91"/>
      <c r="H281" s="91"/>
      <c r="I281" s="91"/>
      <c r="J281" s="91"/>
      <c r="K281" s="89"/>
      <c r="L281" s="89"/>
    </row>
    <row r="282" spans="1:12" x14ac:dyDescent="0.2">
      <c r="A282" s="90" t="s">
        <v>315</v>
      </c>
      <c r="B282" s="387">
        <v>4</v>
      </c>
      <c r="C282" s="387">
        <v>300</v>
      </c>
      <c r="D282" s="91">
        <f t="shared" ref="D282:J282" si="65">B10*$B$282*$C$282*D172</f>
        <v>454800</v>
      </c>
      <c r="E282" s="91">
        <f t="shared" si="65"/>
        <v>595980</v>
      </c>
      <c r="F282" s="91">
        <f t="shared" si="65"/>
        <v>751464</v>
      </c>
      <c r="G282" s="91">
        <f t="shared" si="65"/>
        <v>919617.3</v>
      </c>
      <c r="H282" s="91">
        <f t="shared" si="65"/>
        <v>1104165.8775000002</v>
      </c>
      <c r="I282" s="91">
        <f t="shared" si="65"/>
        <v>1303338.7316250002</v>
      </c>
      <c r="J282" s="91">
        <f t="shared" si="65"/>
        <v>1273626.8968500004</v>
      </c>
      <c r="K282" s="89"/>
      <c r="L282" s="89"/>
    </row>
    <row r="283" spans="1:12" x14ac:dyDescent="0.2">
      <c r="A283" s="90" t="s">
        <v>144</v>
      </c>
      <c r="B283" s="387">
        <f>'2.Capex Details'!H70*0.746*5</f>
        <v>138.01</v>
      </c>
      <c r="C283" s="387">
        <v>10</v>
      </c>
      <c r="D283" s="91">
        <f t="shared" ref="D283:J283" si="66">$B$283*$C$283*D172*B10</f>
        <v>523057.89999999997</v>
      </c>
      <c r="E283" s="91">
        <f t="shared" si="66"/>
        <v>685426.66500000004</v>
      </c>
      <c r="F283" s="91">
        <f t="shared" si="66"/>
        <v>864246.22199999995</v>
      </c>
      <c r="G283" s="91">
        <f t="shared" si="66"/>
        <v>1057636.5297750002</v>
      </c>
      <c r="H283" s="91">
        <f t="shared" si="66"/>
        <v>1269882.7729481251</v>
      </c>
      <c r="I283" s="91">
        <f t="shared" si="66"/>
        <v>1498948.1529297191</v>
      </c>
      <c r="J283" s="91">
        <f t="shared" si="66"/>
        <v>1464777.0669522379</v>
      </c>
      <c r="K283" s="89"/>
      <c r="L283" s="89"/>
    </row>
    <row r="284" spans="1:12" x14ac:dyDescent="0.2">
      <c r="A284" s="90" t="s">
        <v>459</v>
      </c>
      <c r="B284" s="387"/>
      <c r="C284" s="387">
        <v>95</v>
      </c>
      <c r="D284" s="91">
        <f>SUM(B120:B141)*$C$284*D172</f>
        <v>1267323.8431000002</v>
      </c>
      <c r="E284" s="91">
        <f t="shared" ref="E284:J284" si="67">SUM(C120:C141)*$C$284*E172</f>
        <v>1663362.54406875</v>
      </c>
      <c r="F284" s="91">
        <f t="shared" si="67"/>
        <v>2095836.8055266251</v>
      </c>
      <c r="G284" s="91">
        <f t="shared" si="67"/>
        <v>2567400.0867701164</v>
      </c>
      <c r="H284" s="91">
        <f t="shared" si="67"/>
        <v>3080880.1041241395</v>
      </c>
      <c r="I284" s="91">
        <f t="shared" si="67"/>
        <v>3639289.6229966399</v>
      </c>
      <c r="J284" s="91">
        <f t="shared" si="67"/>
        <v>3556705.3138578017</v>
      </c>
      <c r="K284" s="89"/>
      <c r="L284" s="89"/>
    </row>
    <row r="285" spans="1:12" x14ac:dyDescent="0.2">
      <c r="A285" s="90" t="s">
        <v>458</v>
      </c>
      <c r="B285" s="387"/>
      <c r="C285" s="387">
        <v>63</v>
      </c>
      <c r="D285" s="91">
        <f t="shared" ref="D285:J285" si="68">SUM(B120:B141)*$C$285*D172</f>
        <v>840435.81174000015</v>
      </c>
      <c r="E285" s="91">
        <f t="shared" si="68"/>
        <v>1103072.00290875</v>
      </c>
      <c r="F285" s="91">
        <f t="shared" si="68"/>
        <v>1389870.7236650251</v>
      </c>
      <c r="G285" s="91">
        <f t="shared" si="68"/>
        <v>1702591.6364896561</v>
      </c>
      <c r="H285" s="91">
        <f t="shared" si="68"/>
        <v>2043109.9637875871</v>
      </c>
      <c r="I285" s="91">
        <f t="shared" si="68"/>
        <v>2413423.6447240873</v>
      </c>
      <c r="J285" s="91">
        <f t="shared" si="68"/>
        <v>2358657.2081372789</v>
      </c>
      <c r="K285" s="89"/>
      <c r="L285" s="89"/>
    </row>
    <row r="286" spans="1:12" x14ac:dyDescent="0.2">
      <c r="A286" s="9"/>
      <c r="B286" s="393"/>
      <c r="C286" s="393"/>
      <c r="D286" s="9"/>
      <c r="E286" s="9"/>
      <c r="F286" s="9"/>
      <c r="G286" s="9"/>
      <c r="H286" s="9"/>
      <c r="I286" s="9"/>
      <c r="J286" s="9"/>
      <c r="K286" s="89"/>
      <c r="L286" s="89"/>
    </row>
    <row r="287" spans="1:12" x14ac:dyDescent="0.2">
      <c r="A287" s="9"/>
      <c r="B287" s="393"/>
      <c r="C287" s="393"/>
      <c r="D287" s="9"/>
      <c r="E287" s="9"/>
      <c r="F287" s="9"/>
      <c r="G287" s="9"/>
      <c r="H287" s="9"/>
      <c r="I287" s="9"/>
      <c r="J287" s="9"/>
      <c r="K287" s="89"/>
      <c r="L287" s="89"/>
    </row>
    <row r="288" spans="1:12" x14ac:dyDescent="0.2">
      <c r="A288" s="9"/>
      <c r="B288" s="393"/>
      <c r="C288" s="393"/>
      <c r="D288" s="9"/>
      <c r="E288" s="9"/>
      <c r="F288" s="9"/>
      <c r="G288" s="9"/>
      <c r="H288" s="9"/>
      <c r="I288" s="9"/>
      <c r="J288" s="9"/>
      <c r="K288" s="89"/>
      <c r="L288" s="89"/>
    </row>
    <row r="289" spans="1:20" x14ac:dyDescent="0.2">
      <c r="A289" s="94" t="s">
        <v>345</v>
      </c>
      <c r="B289" s="387"/>
      <c r="C289" s="387"/>
      <c r="D289" s="194"/>
      <c r="E289" s="194">
        <f>'5.Closing Stock &amp; W Capital'!F7</f>
        <v>1281236.8098620002</v>
      </c>
      <c r="F289" s="194">
        <f>'5.Closing Stock &amp; W Capital'!G7</f>
        <v>1681582.6763688752</v>
      </c>
      <c r="G289" s="194">
        <f>'5.Closing Stock &amp; W Capital'!H7</f>
        <v>2118816.9287067829</v>
      </c>
      <c r="H289" s="194">
        <f>'5.Closing Stock &amp; W Capital'!I7</f>
        <v>2595510.9138223086</v>
      </c>
      <c r="I289" s="194">
        <f>'5.Closing Stock &amp; W Capital'!J7</f>
        <v>3114639.9776811334</v>
      </c>
      <c r="J289" s="194">
        <f>'5.Closing Stock &amp; W Capital'!K7</f>
        <v>3679127.311960096</v>
      </c>
      <c r="K289" s="89"/>
      <c r="L289" s="89"/>
    </row>
    <row r="290" spans="1:20" x14ac:dyDescent="0.2">
      <c r="A290" s="94" t="s">
        <v>346</v>
      </c>
      <c r="B290" s="387"/>
      <c r="C290" s="408"/>
      <c r="D290" s="194">
        <f>'5.Closing Stock &amp; W Capital'!E16</f>
        <v>1281236.8098620002</v>
      </c>
      <c r="E290" s="194">
        <f>'5.Closing Stock &amp; W Capital'!F16</f>
        <v>1681582.6763688752</v>
      </c>
      <c r="F290" s="194">
        <f>'5.Closing Stock &amp; W Capital'!G16</f>
        <v>2118816.9287067829</v>
      </c>
      <c r="G290" s="194">
        <f>'5.Closing Stock &amp; W Capital'!H16</f>
        <v>2595510.9138223086</v>
      </c>
      <c r="H290" s="194">
        <f>'5.Closing Stock &amp; W Capital'!I16</f>
        <v>3114639.9776811334</v>
      </c>
      <c r="I290" s="194">
        <f>'5.Closing Stock &amp; W Capital'!J16</f>
        <v>3679127.311960096</v>
      </c>
      <c r="J290" s="194">
        <f>'5.Closing Stock &amp; W Capital'!K16</f>
        <v>3971831.1900139656</v>
      </c>
      <c r="K290" s="89"/>
      <c r="L290" s="89"/>
    </row>
    <row r="291" spans="1:20" x14ac:dyDescent="0.2">
      <c r="A291" s="94"/>
      <c r="B291" s="387"/>
      <c r="C291" s="409"/>
      <c r="D291" s="194"/>
      <c r="E291" s="194"/>
      <c r="F291" s="194"/>
      <c r="G291" s="194"/>
      <c r="H291" s="194"/>
      <c r="I291" s="194"/>
      <c r="J291" s="194"/>
      <c r="K291" s="89"/>
      <c r="L291" s="89"/>
      <c r="M291" s="89"/>
      <c r="N291" s="89"/>
      <c r="O291" s="89"/>
      <c r="P291" s="89"/>
      <c r="Q291" s="89"/>
      <c r="R291" s="89"/>
      <c r="S291" s="89"/>
      <c r="T291" s="89"/>
    </row>
    <row r="292" spans="1:20" x14ac:dyDescent="0.2">
      <c r="A292" s="92" t="s">
        <v>325</v>
      </c>
      <c r="B292" s="403"/>
      <c r="C292" s="403"/>
      <c r="D292" s="110">
        <f t="shared" ref="D292:J292" si="69">SUM(D233:D289)-D290</f>
        <v>63621039.494978003</v>
      </c>
      <c r="E292" s="110">
        <f t="shared" si="69"/>
        <v>84781859.954845637</v>
      </c>
      <c r="F292" s="110">
        <f t="shared" si="69"/>
        <v>106893482.90666626</v>
      </c>
      <c r="G292" s="110">
        <f t="shared" si="69"/>
        <v>131001443.34248956</v>
      </c>
      <c r="H292" s="110">
        <f t="shared" si="69"/>
        <v>157255979.78398544</v>
      </c>
      <c r="I292" s="110">
        <f t="shared" si="69"/>
        <v>185805301.90844992</v>
      </c>
      <c r="J292" s="110">
        <f t="shared" si="69"/>
        <v>200657512.83078167</v>
      </c>
      <c r="K292" s="89"/>
      <c r="L292" s="89"/>
      <c r="M292" s="89"/>
      <c r="N292" s="89"/>
      <c r="O292" s="89"/>
      <c r="P292" s="89"/>
      <c r="Q292" s="89"/>
      <c r="R292" s="89"/>
      <c r="S292" s="89"/>
      <c r="T292" s="89"/>
    </row>
    <row r="293" spans="1:20" x14ac:dyDescent="0.2">
      <c r="A293" s="92" t="s">
        <v>312</v>
      </c>
      <c r="B293" s="387"/>
      <c r="C293" s="387"/>
      <c r="D293" s="105"/>
      <c r="E293" s="105"/>
      <c r="F293" s="105"/>
      <c r="G293" s="105"/>
      <c r="H293" s="105"/>
      <c r="I293" s="90"/>
      <c r="J293" s="90"/>
      <c r="K293" s="89"/>
      <c r="L293" s="89"/>
      <c r="M293" s="89"/>
      <c r="N293" s="89"/>
      <c r="O293" s="89"/>
      <c r="P293" s="89"/>
      <c r="Q293" s="89"/>
      <c r="R293" s="89"/>
      <c r="S293" s="89"/>
      <c r="T293" s="89"/>
    </row>
    <row r="294" spans="1:20" x14ac:dyDescent="0.2">
      <c r="A294" s="90" t="s">
        <v>189</v>
      </c>
      <c r="B294" s="387">
        <v>1</v>
      </c>
      <c r="C294" s="388">
        <v>15000</v>
      </c>
      <c r="D294" s="91">
        <f t="shared" ref="D294:J294" si="70">$B$294*$C$294*12*D172</f>
        <v>180000</v>
      </c>
      <c r="E294" s="91">
        <f t="shared" si="70"/>
        <v>189000</v>
      </c>
      <c r="F294" s="91">
        <f t="shared" si="70"/>
        <v>198450</v>
      </c>
      <c r="G294" s="91">
        <f t="shared" si="70"/>
        <v>208372.50000000003</v>
      </c>
      <c r="H294" s="91">
        <f t="shared" si="70"/>
        <v>218791.12500000003</v>
      </c>
      <c r="I294" s="91">
        <f t="shared" si="70"/>
        <v>229730.68125000005</v>
      </c>
      <c r="J294" s="91">
        <f t="shared" si="70"/>
        <v>241217.21531250008</v>
      </c>
      <c r="K294" s="89"/>
      <c r="L294" s="89"/>
      <c r="M294" s="89"/>
      <c r="N294" s="89"/>
      <c r="O294" s="89"/>
      <c r="P294" s="89"/>
      <c r="Q294" s="89"/>
      <c r="R294" s="89"/>
      <c r="S294" s="89"/>
      <c r="T294" s="89"/>
    </row>
    <row r="295" spans="1:20" x14ac:dyDescent="0.2">
      <c r="A295" s="90" t="s">
        <v>710</v>
      </c>
      <c r="B295" s="387">
        <v>1</v>
      </c>
      <c r="C295" s="388">
        <v>8000</v>
      </c>
      <c r="D295" s="91">
        <f>$B$295*$C$295*12*D172</f>
        <v>96000</v>
      </c>
      <c r="E295" s="91">
        <f t="shared" ref="E295:J295" si="71">$B$295*$C$295*12*E172</f>
        <v>100800</v>
      </c>
      <c r="F295" s="91">
        <f t="shared" si="71"/>
        <v>105840</v>
      </c>
      <c r="G295" s="91">
        <f t="shared" si="71"/>
        <v>111132.00000000001</v>
      </c>
      <c r="H295" s="91">
        <f t="shared" si="71"/>
        <v>116688.60000000002</v>
      </c>
      <c r="I295" s="91">
        <f t="shared" si="71"/>
        <v>122523.03000000003</v>
      </c>
      <c r="J295" s="91">
        <f t="shared" si="71"/>
        <v>128649.18150000004</v>
      </c>
      <c r="K295" s="89"/>
      <c r="L295" s="89"/>
      <c r="M295" s="89"/>
      <c r="N295" s="198"/>
      <c r="O295" s="89"/>
      <c r="P295" s="89"/>
      <c r="Q295" s="89"/>
      <c r="R295" s="89"/>
      <c r="S295" s="89"/>
      <c r="T295" s="89"/>
    </row>
    <row r="296" spans="1:20" x14ac:dyDescent="0.2">
      <c r="A296" s="90" t="s">
        <v>711</v>
      </c>
      <c r="B296" s="387">
        <v>1</v>
      </c>
      <c r="C296" s="388">
        <v>8000</v>
      </c>
      <c r="D296" s="91">
        <f>$B$296*$C$296*12*D172</f>
        <v>96000</v>
      </c>
      <c r="E296" s="91">
        <f t="shared" ref="E296:J296" si="72">$B$296*$C$296*12*E172</f>
        <v>100800</v>
      </c>
      <c r="F296" s="91">
        <f t="shared" si="72"/>
        <v>105840</v>
      </c>
      <c r="G296" s="91">
        <f t="shared" si="72"/>
        <v>111132.00000000001</v>
      </c>
      <c r="H296" s="91">
        <f t="shared" si="72"/>
        <v>116688.60000000002</v>
      </c>
      <c r="I296" s="91">
        <f t="shared" si="72"/>
        <v>122523.03000000003</v>
      </c>
      <c r="J296" s="91">
        <f t="shared" si="72"/>
        <v>128649.18150000004</v>
      </c>
      <c r="K296" s="89"/>
      <c r="L296" s="89"/>
      <c r="M296" s="89"/>
      <c r="N296" s="89"/>
      <c r="O296" s="89"/>
      <c r="P296" s="89"/>
      <c r="Q296" s="89"/>
      <c r="R296" s="89"/>
      <c r="S296" s="89"/>
      <c r="T296" s="89"/>
    </row>
    <row r="297" spans="1:20" x14ac:dyDescent="0.2">
      <c r="A297" s="90"/>
      <c r="B297" s="387"/>
      <c r="C297" s="388"/>
      <c r="D297" s="91"/>
      <c r="E297" s="91"/>
      <c r="F297" s="91"/>
      <c r="G297" s="91"/>
      <c r="H297" s="91"/>
      <c r="I297" s="91"/>
      <c r="J297" s="91"/>
      <c r="K297" s="89"/>
      <c r="L297" s="89"/>
      <c r="M297" s="89"/>
      <c r="N297" s="89"/>
      <c r="O297" s="89"/>
      <c r="P297" s="89"/>
      <c r="Q297" s="89"/>
      <c r="R297" s="89"/>
      <c r="S297" s="89"/>
      <c r="T297" s="89"/>
    </row>
    <row r="298" spans="1:20" x14ac:dyDescent="0.2">
      <c r="A298" s="90"/>
      <c r="B298" s="387"/>
      <c r="C298" s="388"/>
      <c r="D298" s="91"/>
      <c r="E298" s="91"/>
      <c r="F298" s="91"/>
      <c r="G298" s="91"/>
      <c r="H298" s="91"/>
      <c r="I298" s="91"/>
      <c r="J298" s="91"/>
      <c r="K298" s="89"/>
      <c r="L298" s="89"/>
      <c r="M298" s="89"/>
      <c r="N298" s="89"/>
      <c r="O298" s="89"/>
      <c r="P298" s="89"/>
      <c r="Q298" s="89"/>
      <c r="R298" s="89"/>
      <c r="S298" s="89"/>
      <c r="T298" s="89"/>
    </row>
    <row r="299" spans="1:20" x14ac:dyDescent="0.2">
      <c r="A299" s="90"/>
      <c r="B299" s="387"/>
      <c r="C299" s="388"/>
      <c r="D299" s="91"/>
      <c r="E299" s="91"/>
      <c r="F299" s="91"/>
      <c r="G299" s="91"/>
      <c r="H299" s="91"/>
      <c r="I299" s="91"/>
      <c r="J299" s="91"/>
      <c r="K299" s="89"/>
      <c r="L299" s="89"/>
      <c r="M299" s="89"/>
      <c r="N299" s="89"/>
      <c r="O299" s="89"/>
      <c r="P299" s="89"/>
      <c r="Q299" s="89"/>
      <c r="R299" s="89"/>
      <c r="S299" s="89"/>
      <c r="T299" s="89"/>
    </row>
    <row r="300" spans="1:20" x14ac:dyDescent="0.2">
      <c r="A300" s="90"/>
      <c r="B300" s="387"/>
      <c r="C300" s="388"/>
      <c r="D300" s="91"/>
      <c r="E300" s="91"/>
      <c r="F300" s="91"/>
      <c r="G300" s="91"/>
      <c r="H300" s="91"/>
      <c r="I300" s="91"/>
      <c r="J300" s="91"/>
      <c r="K300" s="89"/>
      <c r="L300" s="89"/>
      <c r="M300" s="89"/>
      <c r="N300" s="89"/>
      <c r="O300" s="89"/>
      <c r="P300" s="89"/>
      <c r="Q300" s="89"/>
      <c r="R300" s="89"/>
      <c r="S300" s="89"/>
      <c r="T300" s="89"/>
    </row>
    <row r="301" spans="1:20" x14ac:dyDescent="0.2">
      <c r="A301" s="92" t="s">
        <v>329</v>
      </c>
      <c r="B301" s="403"/>
      <c r="C301" s="403"/>
      <c r="D301" s="110">
        <f t="shared" ref="D301:J301" si="73">SUM(D294:D300)</f>
        <v>372000</v>
      </c>
      <c r="E301" s="110">
        <f t="shared" si="73"/>
        <v>390600</v>
      </c>
      <c r="F301" s="110">
        <f t="shared" si="73"/>
        <v>410130</v>
      </c>
      <c r="G301" s="110">
        <f t="shared" si="73"/>
        <v>430636.50000000006</v>
      </c>
      <c r="H301" s="110">
        <f t="shared" si="73"/>
        <v>452168.32500000007</v>
      </c>
      <c r="I301" s="110">
        <f t="shared" si="73"/>
        <v>474776.74125000008</v>
      </c>
      <c r="J301" s="110">
        <f t="shared" si="73"/>
        <v>498515.57831250015</v>
      </c>
      <c r="K301" s="89"/>
      <c r="L301" s="89"/>
      <c r="M301" s="89"/>
      <c r="N301" s="198"/>
      <c r="O301" s="89"/>
      <c r="P301" s="89"/>
      <c r="Q301" s="89"/>
      <c r="R301" s="89"/>
      <c r="S301" s="89"/>
      <c r="T301" s="89"/>
    </row>
    <row r="302" spans="1:20" x14ac:dyDescent="0.2">
      <c r="A302" s="92" t="s">
        <v>129</v>
      </c>
      <c r="B302" s="92"/>
      <c r="C302" s="92"/>
      <c r="D302" s="110">
        <f t="shared" ref="D302:J302" si="74">D292+D301</f>
        <v>63993039.494978003</v>
      </c>
      <c r="E302" s="110">
        <f t="shared" si="74"/>
        <v>85172459.954845637</v>
      </c>
      <c r="F302" s="110">
        <f t="shared" si="74"/>
        <v>107303612.90666626</v>
      </c>
      <c r="G302" s="110">
        <f t="shared" si="74"/>
        <v>131432079.84248956</v>
      </c>
      <c r="H302" s="110">
        <f t="shared" si="74"/>
        <v>157708148.10898542</v>
      </c>
      <c r="I302" s="110">
        <f t="shared" si="74"/>
        <v>186280078.64969993</v>
      </c>
      <c r="J302" s="110">
        <f t="shared" si="74"/>
        <v>201156028.40909415</v>
      </c>
      <c r="K302" s="89"/>
      <c r="L302" s="89"/>
      <c r="M302" s="89"/>
      <c r="N302" s="89"/>
      <c r="O302" s="89"/>
      <c r="P302" s="89"/>
      <c r="Q302" s="89"/>
      <c r="R302" s="89"/>
      <c r="S302" s="89"/>
      <c r="T302" s="89"/>
    </row>
    <row r="303" spans="1:20" x14ac:dyDescent="0.2">
      <c r="A303" s="90"/>
      <c r="B303" s="90"/>
      <c r="C303" s="90"/>
      <c r="D303" s="105"/>
      <c r="E303" s="105"/>
      <c r="F303" s="105"/>
      <c r="G303" s="105"/>
      <c r="H303" s="105"/>
      <c r="I303" s="90"/>
      <c r="J303" s="90"/>
      <c r="K303" s="89"/>
      <c r="L303" s="89"/>
      <c r="M303" s="89"/>
      <c r="N303" s="89"/>
      <c r="O303" s="89"/>
      <c r="P303" s="89"/>
      <c r="Q303" s="89"/>
      <c r="R303" s="89"/>
      <c r="S303" s="89"/>
      <c r="T303" s="89"/>
    </row>
    <row r="304" spans="1:20" x14ac:dyDescent="0.2">
      <c r="A304" s="92"/>
      <c r="B304" s="92"/>
      <c r="C304" s="92"/>
      <c r="D304" s="105"/>
      <c r="E304" s="105"/>
      <c r="F304" s="105"/>
      <c r="G304" s="105"/>
      <c r="H304" s="105"/>
      <c r="I304" s="90"/>
      <c r="J304" s="90"/>
      <c r="K304" s="89"/>
      <c r="L304" s="89"/>
      <c r="M304" s="89"/>
      <c r="N304" s="89"/>
      <c r="O304" s="89"/>
      <c r="P304" s="89"/>
      <c r="Q304" s="89"/>
      <c r="R304" s="89"/>
      <c r="S304" s="89"/>
      <c r="T304" s="89"/>
    </row>
    <row r="305" spans="1:20" x14ac:dyDescent="0.2">
      <c r="A305" s="92" t="s">
        <v>317</v>
      </c>
      <c r="B305" s="92"/>
      <c r="C305" s="92"/>
      <c r="D305" s="110">
        <f t="shared" ref="D305:J305" si="75">D229-D302</f>
        <v>1134828.9410020038</v>
      </c>
      <c r="E305" s="110">
        <f t="shared" si="75"/>
        <v>1688879.7256491333</v>
      </c>
      <c r="F305" s="110">
        <f t="shared" si="75"/>
        <v>2214178.239566341</v>
      </c>
      <c r="G305" s="110">
        <f t="shared" si="75"/>
        <v>2790654.5668534487</v>
      </c>
      <c r="H305" s="110">
        <f t="shared" si="75"/>
        <v>3416229.4119135141</v>
      </c>
      <c r="I305" s="110">
        <f t="shared" si="75"/>
        <v>4100549.4578871131</v>
      </c>
      <c r="J305" s="110">
        <f t="shared" si="75"/>
        <v>4993878.4296067357</v>
      </c>
      <c r="K305" s="89"/>
      <c r="L305" s="89"/>
      <c r="M305" s="89"/>
      <c r="N305" s="89"/>
      <c r="O305" s="89"/>
      <c r="P305" s="89"/>
      <c r="Q305" s="89"/>
      <c r="R305" s="89"/>
      <c r="S305" s="89"/>
      <c r="T305" s="89"/>
    </row>
    <row r="306" spans="1:20" x14ac:dyDescent="0.2">
      <c r="A306" s="89"/>
      <c r="B306" s="89"/>
      <c r="C306" s="89"/>
      <c r="D306" s="89"/>
      <c r="E306" s="89"/>
      <c r="F306" s="89"/>
      <c r="G306" s="89"/>
      <c r="H306" s="89"/>
      <c r="I306" s="89"/>
      <c r="J306" s="89"/>
    </row>
    <row r="307" spans="1:20" x14ac:dyDescent="0.2">
      <c r="A307" s="89" t="s">
        <v>51</v>
      </c>
      <c r="B307" s="89"/>
      <c r="C307" s="89"/>
      <c r="D307" s="89"/>
      <c r="E307" s="89"/>
      <c r="F307" s="89"/>
      <c r="G307" s="89"/>
      <c r="H307" s="89"/>
      <c r="I307" s="89"/>
      <c r="J307" s="89"/>
    </row>
    <row r="308" spans="1:20" x14ac:dyDescent="0.2">
      <c r="A308" s="452" t="s">
        <v>424</v>
      </c>
      <c r="B308" s="452"/>
      <c r="C308" s="452"/>
      <c r="D308" s="452"/>
      <c r="E308" s="452"/>
      <c r="F308" s="452"/>
      <c r="G308" s="452"/>
      <c r="H308" s="452"/>
      <c r="I308" s="452"/>
      <c r="J308" s="452"/>
    </row>
    <row r="310" spans="1:20" x14ac:dyDescent="0.2">
      <c r="A310" t="s">
        <v>538</v>
      </c>
    </row>
    <row r="311" spans="1:20" x14ac:dyDescent="0.2">
      <c r="A311">
        <v>1</v>
      </c>
      <c r="B311" t="s">
        <v>547</v>
      </c>
    </row>
    <row r="312" spans="1:20" x14ac:dyDescent="0.2">
      <c r="A312">
        <v>2</v>
      </c>
      <c r="B312" t="s">
        <v>548</v>
      </c>
    </row>
    <row r="313" spans="1:20" x14ac:dyDescent="0.2">
      <c r="A313">
        <v>3</v>
      </c>
      <c r="B313" s="89" t="s">
        <v>599</v>
      </c>
    </row>
  </sheetData>
  <mergeCells count="5">
    <mergeCell ref="A170:J170"/>
    <mergeCell ref="A2:H2"/>
    <mergeCell ref="A308:J308"/>
    <mergeCell ref="F4:H4"/>
    <mergeCell ref="A3:H3"/>
  </mergeCells>
  <pageMargins left="0.7" right="0.7" top="0.75" bottom="0.75" header="0.3" footer="0.3"/>
  <pageSetup paperSize="9" scale="44" orientation="portrait" r:id="rId1"/>
  <rowBreaks count="1" manualBreakCount="1">
    <brk id="200" max="9"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3:O189"/>
  <sheetViews>
    <sheetView view="pageBreakPreview" topLeftCell="A145" zoomScale="80" zoomScaleNormal="70" zoomScaleSheetLayoutView="80" workbookViewId="0">
      <selection activeCell="I29" sqref="I29"/>
    </sheetView>
  </sheetViews>
  <sheetFormatPr defaultRowHeight="15" x14ac:dyDescent="0.2"/>
  <cols>
    <col min="1" max="1" width="41.69921875" bestFit="1" customWidth="1"/>
    <col min="2" max="2" width="10.625" customWidth="1"/>
    <col min="3" max="3" width="10.625" bestFit="1" customWidth="1"/>
    <col min="4" max="4" width="17.08203125" bestFit="1" customWidth="1"/>
    <col min="5" max="6" width="17.21875" customWidth="1"/>
    <col min="7" max="10" width="18.5625" bestFit="1" customWidth="1"/>
    <col min="14" max="14" width="10.76171875" bestFit="1" customWidth="1"/>
  </cols>
  <sheetData>
    <row r="3" spans="1:8" ht="18" x14ac:dyDescent="0.2">
      <c r="A3" s="451" t="s">
        <v>583</v>
      </c>
      <c r="B3" s="451"/>
      <c r="C3" s="451"/>
      <c r="D3" s="451"/>
      <c r="E3" s="451"/>
      <c r="F3" s="451"/>
      <c r="G3" s="451"/>
      <c r="H3" s="451"/>
    </row>
    <row r="4" spans="1:8" ht="18" x14ac:dyDescent="0.2">
      <c r="A4" s="451" t="s">
        <v>584</v>
      </c>
      <c r="B4" s="451"/>
      <c r="C4" s="451"/>
      <c r="D4" s="451"/>
      <c r="E4" s="451"/>
      <c r="F4" s="451"/>
      <c r="G4" s="451"/>
      <c r="H4" s="451"/>
    </row>
    <row r="5" spans="1:8" x14ac:dyDescent="0.2">
      <c r="A5" s="111" t="s">
        <v>162</v>
      </c>
      <c r="B5" s="416">
        <v>6</v>
      </c>
      <c r="C5" s="111" t="s">
        <v>469</v>
      </c>
      <c r="D5" s="89"/>
      <c r="E5" s="89"/>
      <c r="F5" s="89"/>
      <c r="G5" s="89"/>
      <c r="H5" s="89"/>
    </row>
    <row r="6" spans="1:8" x14ac:dyDescent="0.2">
      <c r="A6" s="111" t="s">
        <v>163</v>
      </c>
      <c r="B6" s="416">
        <v>12</v>
      </c>
      <c r="C6" s="111"/>
      <c r="D6" s="89"/>
      <c r="E6" s="89"/>
      <c r="F6" s="89"/>
      <c r="G6" s="89"/>
      <c r="H6" s="89"/>
    </row>
    <row r="7" spans="1:8" x14ac:dyDescent="0.2">
      <c r="A7" s="89"/>
      <c r="B7" s="402"/>
      <c r="C7" s="89"/>
      <c r="D7" s="89"/>
      <c r="E7" s="89"/>
      <c r="F7" s="89"/>
      <c r="G7" s="89"/>
      <c r="H7" s="89"/>
    </row>
    <row r="8" spans="1:8" x14ac:dyDescent="0.2">
      <c r="A8" s="89"/>
      <c r="B8" s="402"/>
      <c r="C8" s="89"/>
      <c r="D8" s="89"/>
      <c r="E8" s="89"/>
      <c r="F8" s="89"/>
      <c r="G8" s="89"/>
      <c r="H8" s="89"/>
    </row>
    <row r="9" spans="1:8" x14ac:dyDescent="0.2">
      <c r="A9" s="89"/>
      <c r="B9" s="89"/>
      <c r="C9" s="89"/>
      <c r="D9" s="89"/>
      <c r="E9" s="89"/>
      <c r="F9" s="89"/>
      <c r="G9" s="89"/>
      <c r="H9" s="89"/>
    </row>
    <row r="10" spans="1:8" x14ac:dyDescent="0.2">
      <c r="A10" s="89"/>
      <c r="B10" s="89"/>
      <c r="C10" s="89"/>
      <c r="D10" s="89"/>
      <c r="E10" s="89"/>
      <c r="F10" s="89"/>
      <c r="G10" s="89"/>
      <c r="H10" s="89"/>
    </row>
    <row r="11" spans="1:8" x14ac:dyDescent="0.2">
      <c r="A11" s="77" t="s">
        <v>0</v>
      </c>
      <c r="B11" s="78" t="s">
        <v>2</v>
      </c>
      <c r="C11" s="78" t="s">
        <v>3</v>
      </c>
      <c r="D11" s="78" t="s">
        <v>4</v>
      </c>
      <c r="E11" s="78" t="s">
        <v>5</v>
      </c>
      <c r="F11" s="78" t="s">
        <v>6</v>
      </c>
      <c r="G11" s="78" t="s">
        <v>170</v>
      </c>
      <c r="H11" s="78" t="s">
        <v>169</v>
      </c>
    </row>
    <row r="12" spans="1:8" x14ac:dyDescent="0.2">
      <c r="A12" s="90" t="s">
        <v>171</v>
      </c>
      <c r="B12" s="281">
        <f>B32/($B$5*$B$6)</f>
        <v>189.0625138888889</v>
      </c>
      <c r="C12" s="281">
        <f t="shared" ref="C12:H12" si="0">C32/($B$5*$B$6)</f>
        <v>283.59377083333339</v>
      </c>
      <c r="D12" s="281">
        <f t="shared" si="0"/>
        <v>378.1250277777778</v>
      </c>
      <c r="E12" s="281">
        <f t="shared" si="0"/>
        <v>472.65628472222227</v>
      </c>
      <c r="F12" s="281">
        <f t="shared" si="0"/>
        <v>567.18754166666668</v>
      </c>
      <c r="G12" s="281">
        <f t="shared" si="0"/>
        <v>661.7187986111112</v>
      </c>
      <c r="H12" s="281">
        <f t="shared" si="0"/>
        <v>648.91005555555557</v>
      </c>
    </row>
    <row r="13" spans="1:8" x14ac:dyDescent="0.2">
      <c r="A13" s="90" t="str">
        <f>'10.Grain Production details'!A67</f>
        <v>Soybean</v>
      </c>
      <c r="B13" s="90">
        <f>'10.Grain Production details'!B67</f>
        <v>1127.0700000000002</v>
      </c>
      <c r="C13" s="90">
        <f>'10.Grain Production details'!C67</f>
        <v>1690.6050000000005</v>
      </c>
      <c r="D13" s="90">
        <f>'10.Grain Production details'!D67</f>
        <v>2254.1400000000003</v>
      </c>
      <c r="E13" s="90">
        <f>'10.Grain Production details'!E67</f>
        <v>2817.6750000000002</v>
      </c>
      <c r="F13" s="90">
        <f>'10.Grain Production details'!F67</f>
        <v>3381.21</v>
      </c>
      <c r="G13" s="90">
        <f>'10.Grain Production details'!G67</f>
        <v>3944.7449999999999</v>
      </c>
      <c r="H13" s="90">
        <f>'10.Grain Production details'!H67</f>
        <v>4508.28</v>
      </c>
    </row>
    <row r="14" spans="1:8" x14ac:dyDescent="0.2">
      <c r="A14" s="90" t="str">
        <f>'10.Grain Production details'!A68</f>
        <v>Red Gram/Tur</v>
      </c>
      <c r="B14" s="90">
        <f>'10.Grain Production details'!B68</f>
        <v>3823.9875000000002</v>
      </c>
      <c r="C14" s="90">
        <f>'10.Grain Production details'!C68</f>
        <v>5735.9812500000007</v>
      </c>
      <c r="D14" s="90">
        <f>'10.Grain Production details'!D68</f>
        <v>7647.9750000000004</v>
      </c>
      <c r="E14" s="90">
        <f>'10.Grain Production details'!E68</f>
        <v>9559.96875</v>
      </c>
      <c r="F14" s="90">
        <f>'10.Grain Production details'!F68</f>
        <v>11471.9625</v>
      </c>
      <c r="G14" s="90">
        <f>'10.Grain Production details'!G68</f>
        <v>13383.956249999999</v>
      </c>
      <c r="H14" s="90">
        <f>'10.Grain Production details'!H68</f>
        <v>15295.949999999999</v>
      </c>
    </row>
    <row r="15" spans="1:8" x14ac:dyDescent="0.2">
      <c r="A15" s="90" t="str">
        <f>'10.Grain Production details'!A69</f>
        <v>Paddy/Rice</v>
      </c>
      <c r="B15" s="90">
        <f>'10.Grain Production details'!B69</f>
        <v>0</v>
      </c>
      <c r="C15" s="90">
        <f>'10.Grain Production details'!C69</f>
        <v>0</v>
      </c>
      <c r="D15" s="90">
        <f>'10.Grain Production details'!D69</f>
        <v>0</v>
      </c>
      <c r="E15" s="90">
        <f>'10.Grain Production details'!E69</f>
        <v>0</v>
      </c>
      <c r="F15" s="90">
        <f>'10.Grain Production details'!F69</f>
        <v>0</v>
      </c>
      <c r="G15" s="90">
        <f>'10.Grain Production details'!G69</f>
        <v>0</v>
      </c>
      <c r="H15" s="90">
        <f>'10.Grain Production details'!H69</f>
        <v>0</v>
      </c>
    </row>
    <row r="16" spans="1:8" x14ac:dyDescent="0.2">
      <c r="A16" s="90" t="str">
        <f>'10.Grain Production details'!A70</f>
        <v>Green Gram/ Moong</v>
      </c>
      <c r="B16" s="90">
        <f>'10.Grain Production details'!B70</f>
        <v>1095.7625</v>
      </c>
      <c r="C16" s="90">
        <f>'10.Grain Production details'!C70</f>
        <v>1643.6437500000002</v>
      </c>
      <c r="D16" s="90">
        <f>'10.Grain Production details'!D70</f>
        <v>2191.5250000000001</v>
      </c>
      <c r="E16" s="90">
        <f>'10.Grain Production details'!E70</f>
        <v>2739.40625</v>
      </c>
      <c r="F16" s="90">
        <f>'10.Grain Production details'!F70</f>
        <v>3287.2874999999999</v>
      </c>
      <c r="G16" s="90">
        <f>'10.Grain Production details'!G70</f>
        <v>3835.1687499999998</v>
      </c>
      <c r="H16" s="90">
        <f>'10.Grain Production details'!H70</f>
        <v>4383.0499999999993</v>
      </c>
    </row>
    <row r="17" spans="1:8" x14ac:dyDescent="0.2">
      <c r="A17" s="90" t="str">
        <f>'10.Grain Production details'!A71</f>
        <v>Maize</v>
      </c>
      <c r="B17" s="90">
        <f>'10.Grain Production details'!B71</f>
        <v>0</v>
      </c>
      <c r="C17" s="90">
        <f>'10.Grain Production details'!C71</f>
        <v>0</v>
      </c>
      <c r="D17" s="90">
        <f>'10.Grain Production details'!D71</f>
        <v>0</v>
      </c>
      <c r="E17" s="90">
        <f>'10.Grain Production details'!E71</f>
        <v>0</v>
      </c>
      <c r="F17" s="90">
        <f>'10.Grain Production details'!F71</f>
        <v>0</v>
      </c>
      <c r="G17" s="90">
        <f>'10.Grain Production details'!G71</f>
        <v>0</v>
      </c>
      <c r="H17" s="90">
        <f>'10.Grain Production details'!H71</f>
        <v>0</v>
      </c>
    </row>
    <row r="18" spans="1:8" x14ac:dyDescent="0.2">
      <c r="A18" s="90" t="str">
        <f>'10.Grain Production details'!A72</f>
        <v>Black Gram/Udid</v>
      </c>
      <c r="B18" s="90">
        <f>'10.Grain Production details'!B72</f>
        <v>80.504999999999995</v>
      </c>
      <c r="C18" s="90">
        <f>'10.Grain Production details'!C72</f>
        <v>120.75750000000001</v>
      </c>
      <c r="D18" s="90">
        <f>'10.Grain Production details'!D72</f>
        <v>161.01</v>
      </c>
      <c r="E18" s="90">
        <f>'10.Grain Production details'!E72</f>
        <v>201.26249999999999</v>
      </c>
      <c r="F18" s="90">
        <f>'10.Grain Production details'!F72</f>
        <v>241.51499999999999</v>
      </c>
      <c r="G18" s="90">
        <f>'10.Grain Production details'!G72</f>
        <v>281.76749999999998</v>
      </c>
      <c r="H18" s="90">
        <f>'10.Grain Production details'!H72</f>
        <v>322.02</v>
      </c>
    </row>
    <row r="19" spans="1:8" x14ac:dyDescent="0.2">
      <c r="A19" s="90" t="str">
        <f>'10.Grain Production details'!A73</f>
        <v>Bajra</v>
      </c>
      <c r="B19" s="90">
        <f>'10.Grain Production details'!B73</f>
        <v>87.661000000000001</v>
      </c>
      <c r="C19" s="90">
        <f>'10.Grain Production details'!C73</f>
        <v>131.49150000000003</v>
      </c>
      <c r="D19" s="90">
        <f>'10.Grain Production details'!D73</f>
        <v>175.32200000000003</v>
      </c>
      <c r="E19" s="90">
        <f>'10.Grain Production details'!E73</f>
        <v>219.15250000000003</v>
      </c>
      <c r="F19" s="90">
        <f>'10.Grain Production details'!F73</f>
        <v>262.983</v>
      </c>
      <c r="G19" s="90">
        <f>'10.Grain Production details'!G73</f>
        <v>306.81349999999998</v>
      </c>
      <c r="H19" s="90">
        <f>'10.Grain Production details'!H73</f>
        <v>350.64399999999995</v>
      </c>
    </row>
    <row r="20" spans="1:8" x14ac:dyDescent="0.2">
      <c r="A20" s="90" t="str">
        <f>'10.Grain Production details'!A74</f>
        <v>Jawar</v>
      </c>
      <c r="B20" s="90">
        <f>'10.Grain Production details'!B74</f>
        <v>0</v>
      </c>
      <c r="C20" s="90">
        <f>'10.Grain Production details'!C74</f>
        <v>0</v>
      </c>
      <c r="D20" s="90">
        <f>'10.Grain Production details'!D74</f>
        <v>0</v>
      </c>
      <c r="E20" s="90">
        <f>'10.Grain Production details'!E74</f>
        <v>0</v>
      </c>
      <c r="F20" s="90">
        <f>'10.Grain Production details'!F74</f>
        <v>0</v>
      </c>
      <c r="G20" s="90">
        <f>'10.Grain Production details'!G74</f>
        <v>0</v>
      </c>
      <c r="H20" s="90">
        <f>'10.Grain Production details'!H74</f>
        <v>0</v>
      </c>
    </row>
    <row r="21" spans="1:8" x14ac:dyDescent="0.2">
      <c r="A21" s="90" t="str">
        <f>'10.Grain Production details'!A75</f>
        <v>Sunflower</v>
      </c>
      <c r="B21" s="90">
        <f>'10.Grain Production details'!B75</f>
        <v>0</v>
      </c>
      <c r="C21" s="90">
        <f>'10.Grain Production details'!C75</f>
        <v>0</v>
      </c>
      <c r="D21" s="90">
        <f>'10.Grain Production details'!D75</f>
        <v>0</v>
      </c>
      <c r="E21" s="90">
        <f>'10.Grain Production details'!E75</f>
        <v>0</v>
      </c>
      <c r="F21" s="90">
        <f>'10.Grain Production details'!F75</f>
        <v>0</v>
      </c>
      <c r="G21" s="90">
        <f>'10.Grain Production details'!G75</f>
        <v>0</v>
      </c>
      <c r="H21" s="90">
        <f>'10.Grain Production details'!H75</f>
        <v>0</v>
      </c>
    </row>
    <row r="22" spans="1:8" x14ac:dyDescent="0.2">
      <c r="A22" s="90" t="str">
        <f>'10.Grain Production details'!A76</f>
        <v>Wheat</v>
      </c>
      <c r="B22" s="90">
        <f>'10.Grain Production details'!B76</f>
        <v>1932.1200000000001</v>
      </c>
      <c r="C22" s="90">
        <f>'10.Grain Production details'!C76</f>
        <v>2898.1800000000007</v>
      </c>
      <c r="D22" s="90">
        <f>'10.Grain Production details'!D76</f>
        <v>3864.2400000000002</v>
      </c>
      <c r="E22" s="90">
        <f>'10.Grain Production details'!E76</f>
        <v>4830.3</v>
      </c>
      <c r="F22" s="90">
        <f>'10.Grain Production details'!F76</f>
        <v>5796.36</v>
      </c>
      <c r="G22" s="90">
        <f>'10.Grain Production details'!G76</f>
        <v>6762.42</v>
      </c>
      <c r="H22" s="90">
        <f>'11.F&amp;V Crop Production details'!H83</f>
        <v>0</v>
      </c>
    </row>
    <row r="23" spans="1:8" x14ac:dyDescent="0.2">
      <c r="A23" s="90" t="str">
        <f>'10.Grain Production details'!A77</f>
        <v>Bengal Gram/Channa</v>
      </c>
      <c r="B23" s="90">
        <f>'10.Grain Production details'!B77</f>
        <v>2898.1800000000003</v>
      </c>
      <c r="C23" s="90">
        <f>'10.Grain Production details'!C77</f>
        <v>4347.2700000000013</v>
      </c>
      <c r="D23" s="90">
        <f>'10.Grain Production details'!D77</f>
        <v>5796.3600000000006</v>
      </c>
      <c r="E23" s="90">
        <f>'10.Grain Production details'!E77</f>
        <v>7245.4500000000007</v>
      </c>
      <c r="F23" s="90">
        <f>'10.Grain Production details'!F77</f>
        <v>8694.5400000000009</v>
      </c>
      <c r="G23" s="90">
        <f>'10.Grain Production details'!G77</f>
        <v>10143.630000000001</v>
      </c>
      <c r="H23" s="90">
        <f>'10.Grain Production details'!H77</f>
        <v>11592.720000000001</v>
      </c>
    </row>
    <row r="24" spans="1:8" x14ac:dyDescent="0.2">
      <c r="A24" s="90" t="str">
        <f>'10.Grain Production details'!A78</f>
        <v>Jawar</v>
      </c>
      <c r="B24" s="90">
        <f>'10.Grain Production details'!B78</f>
        <v>2209.4150000000004</v>
      </c>
      <c r="C24" s="90">
        <f>'10.Grain Production details'!C78</f>
        <v>3314.1225000000009</v>
      </c>
      <c r="D24" s="90">
        <f>'10.Grain Production details'!D78</f>
        <v>4418.8300000000008</v>
      </c>
      <c r="E24" s="90">
        <f>'10.Grain Production details'!E78</f>
        <v>5523.5375000000004</v>
      </c>
      <c r="F24" s="90">
        <f>'10.Grain Production details'!F78</f>
        <v>6628.2449999999999</v>
      </c>
      <c r="G24" s="90">
        <f>'10.Grain Production details'!G78</f>
        <v>7732.9525000000003</v>
      </c>
      <c r="H24" s="90">
        <f>'10.Grain Production details'!H78</f>
        <v>8837.66</v>
      </c>
    </row>
    <row r="25" spans="1:8" x14ac:dyDescent="0.2">
      <c r="A25" s="90" t="str">
        <f>'10.Grain Production details'!A79</f>
        <v>Maize</v>
      </c>
      <c r="B25" s="90">
        <f>'10.Grain Production details'!B79</f>
        <v>357.8</v>
      </c>
      <c r="C25" s="90">
        <f>'10.Grain Production details'!C79</f>
        <v>536.70000000000005</v>
      </c>
      <c r="D25" s="90">
        <f>'10.Grain Production details'!D79</f>
        <v>715.6</v>
      </c>
      <c r="E25" s="90">
        <f>'10.Grain Production details'!E79</f>
        <v>894.5</v>
      </c>
      <c r="F25" s="90">
        <f>'10.Grain Production details'!F79</f>
        <v>1073.3999999999999</v>
      </c>
      <c r="G25" s="90">
        <f>'10.Grain Production details'!G79</f>
        <v>1252.2999999999997</v>
      </c>
      <c r="H25" s="90">
        <f>'10.Grain Production details'!H79</f>
        <v>1431.1999999999996</v>
      </c>
    </row>
    <row r="26" spans="1:8" x14ac:dyDescent="0.2">
      <c r="A26" s="90" t="str">
        <f>'10.Grain Production details'!A80</f>
        <v>Safflower</v>
      </c>
      <c r="B26" s="90">
        <f>'10.Grain Production details'!B80</f>
        <v>0</v>
      </c>
      <c r="C26" s="90">
        <f>'10.Grain Production details'!C80*0</f>
        <v>0</v>
      </c>
      <c r="D26" s="90">
        <f>'10.Grain Production details'!D80*0</f>
        <v>0</v>
      </c>
      <c r="E26" s="90">
        <f>'10.Grain Production details'!E80*0</f>
        <v>0</v>
      </c>
      <c r="F26" s="90">
        <f>'10.Grain Production details'!F80*0</f>
        <v>0</v>
      </c>
      <c r="G26" s="90">
        <f>'10.Grain Production details'!G80*0</f>
        <v>0</v>
      </c>
      <c r="H26" s="90">
        <f>'10.Grain Production details'!H80*0</f>
        <v>0</v>
      </c>
    </row>
    <row r="27" spans="1:8" x14ac:dyDescent="0.2">
      <c r="A27" s="90">
        <f>'10.Grain Production details'!A81</f>
        <v>0</v>
      </c>
      <c r="B27" s="90">
        <f>'10.Grain Production details'!B81</f>
        <v>0</v>
      </c>
      <c r="C27" s="90">
        <f>'10.Grain Production details'!C81</f>
        <v>0</v>
      </c>
      <c r="D27" s="90">
        <f>'10.Grain Production details'!D81</f>
        <v>0</v>
      </c>
      <c r="E27" s="90">
        <f>'10.Grain Production details'!E81</f>
        <v>0</v>
      </c>
      <c r="F27" s="90">
        <f>'10.Grain Production details'!F81</f>
        <v>0</v>
      </c>
      <c r="G27" s="90">
        <f>'10.Grain Production details'!G81</f>
        <v>0</v>
      </c>
      <c r="H27" s="90">
        <f>'10.Grain Production details'!H81</f>
        <v>0</v>
      </c>
    </row>
    <row r="28" spans="1:8" x14ac:dyDescent="0.2">
      <c r="A28" s="90">
        <f>'10.Grain Production details'!A82</f>
        <v>0</v>
      </c>
      <c r="B28" s="90">
        <f>'10.Grain Production details'!B82</f>
        <v>0</v>
      </c>
      <c r="C28" s="90">
        <f>'10.Grain Production details'!C82</f>
        <v>0</v>
      </c>
      <c r="D28" s="90">
        <f>'10.Grain Production details'!D82</f>
        <v>0</v>
      </c>
      <c r="E28" s="90">
        <f>'10.Grain Production details'!E82</f>
        <v>0</v>
      </c>
      <c r="F28" s="90">
        <f>'10.Grain Production details'!F82</f>
        <v>0</v>
      </c>
      <c r="G28" s="90">
        <f>'10.Grain Production details'!G82</f>
        <v>0</v>
      </c>
      <c r="H28" s="90">
        <f>'10.Grain Production details'!H82</f>
        <v>0</v>
      </c>
    </row>
    <row r="29" spans="1:8" x14ac:dyDescent="0.2">
      <c r="A29" s="90">
        <f>'10.Grain Production details'!A83</f>
        <v>0</v>
      </c>
      <c r="B29" s="90">
        <f>'10.Grain Production details'!B83</f>
        <v>0</v>
      </c>
      <c r="C29" s="90">
        <f>'10.Grain Production details'!C83</f>
        <v>0</v>
      </c>
      <c r="D29" s="90">
        <f>'10.Grain Production details'!D83</f>
        <v>0</v>
      </c>
      <c r="E29" s="90">
        <f>'10.Grain Production details'!E83</f>
        <v>0</v>
      </c>
      <c r="F29" s="90">
        <f>'10.Grain Production details'!F83</f>
        <v>0</v>
      </c>
      <c r="G29" s="90">
        <f>'10.Grain Production details'!G83</f>
        <v>0</v>
      </c>
      <c r="H29" s="90">
        <f>'10.Grain Production details'!H83</f>
        <v>0</v>
      </c>
    </row>
    <row r="30" spans="1:8" x14ac:dyDescent="0.2">
      <c r="A30" s="90" t="str">
        <f>'10.Grain Production details'!A84</f>
        <v>Groundnut</v>
      </c>
      <c r="B30" s="90">
        <f>'10.Grain Production details'!B84</f>
        <v>0</v>
      </c>
      <c r="C30" s="90">
        <f>'10.Grain Production details'!C84</f>
        <v>0</v>
      </c>
      <c r="D30" s="90">
        <f>'10.Grain Production details'!D84</f>
        <v>0</v>
      </c>
      <c r="E30" s="90">
        <f>'10.Grain Production details'!E84</f>
        <v>0</v>
      </c>
      <c r="F30" s="90">
        <f>'10.Grain Production details'!F84</f>
        <v>0</v>
      </c>
      <c r="G30" s="90">
        <f>'10.Grain Production details'!G84</f>
        <v>0</v>
      </c>
      <c r="H30" s="90">
        <f>'10.Grain Production details'!H84</f>
        <v>0</v>
      </c>
    </row>
    <row r="31" spans="1:8" x14ac:dyDescent="0.2">
      <c r="A31" s="90">
        <f>'10.Grain Production details'!A85</f>
        <v>0</v>
      </c>
      <c r="B31" s="90">
        <f>'10.Grain Production details'!B85</f>
        <v>0</v>
      </c>
      <c r="C31" s="90">
        <f>'10.Grain Production details'!C85</f>
        <v>0</v>
      </c>
      <c r="D31" s="90">
        <f>'10.Grain Production details'!D85</f>
        <v>0</v>
      </c>
      <c r="E31" s="90">
        <f>'10.Grain Production details'!E85</f>
        <v>0</v>
      </c>
      <c r="F31" s="90">
        <f>'10.Grain Production details'!F85</f>
        <v>0</v>
      </c>
      <c r="G31" s="90">
        <f>'10.Grain Production details'!G85</f>
        <v>0</v>
      </c>
      <c r="H31" s="90">
        <f>'10.Grain Production details'!H85</f>
        <v>0</v>
      </c>
    </row>
    <row r="32" spans="1:8" x14ac:dyDescent="0.2">
      <c r="A32" s="90" t="s">
        <v>460</v>
      </c>
      <c r="B32" s="90">
        <f>SUM(B13:B31)</f>
        <v>13612.501</v>
      </c>
      <c r="C32" s="90">
        <f t="shared" ref="C32:H32" si="1">SUM(C13:C31)</f>
        <v>20418.751500000006</v>
      </c>
      <c r="D32" s="90">
        <f t="shared" si="1"/>
        <v>27225.002</v>
      </c>
      <c r="E32" s="90">
        <f t="shared" si="1"/>
        <v>34031.252500000002</v>
      </c>
      <c r="F32" s="90">
        <f t="shared" si="1"/>
        <v>40837.503000000004</v>
      </c>
      <c r="G32" s="90">
        <f t="shared" si="1"/>
        <v>47643.753500000006</v>
      </c>
      <c r="H32" s="90">
        <f t="shared" si="1"/>
        <v>46721.524000000005</v>
      </c>
    </row>
    <row r="33" spans="1:8" x14ac:dyDescent="0.2">
      <c r="A33" s="387" t="s">
        <v>166</v>
      </c>
      <c r="B33" s="389">
        <v>0.4</v>
      </c>
      <c r="C33" s="389">
        <f>B33</f>
        <v>0.4</v>
      </c>
      <c r="D33" s="389">
        <f t="shared" ref="D33:H33" si="2">C33</f>
        <v>0.4</v>
      </c>
      <c r="E33" s="389">
        <f t="shared" si="2"/>
        <v>0.4</v>
      </c>
      <c r="F33" s="389">
        <f t="shared" si="2"/>
        <v>0.4</v>
      </c>
      <c r="G33" s="389">
        <f t="shared" si="2"/>
        <v>0.4</v>
      </c>
      <c r="H33" s="389">
        <f t="shared" si="2"/>
        <v>0.4</v>
      </c>
    </row>
    <row r="34" spans="1:8" x14ac:dyDescent="0.2">
      <c r="A34" s="94" t="s">
        <v>470</v>
      </c>
      <c r="B34" s="292">
        <v>0.6</v>
      </c>
      <c r="C34" s="292">
        <f t="shared" ref="C34:H34" si="3">1-C33</f>
        <v>0.6</v>
      </c>
      <c r="D34" s="292">
        <f t="shared" si="3"/>
        <v>0.6</v>
      </c>
      <c r="E34" s="292">
        <f t="shared" si="3"/>
        <v>0.6</v>
      </c>
      <c r="F34" s="292">
        <f t="shared" si="3"/>
        <v>0.6</v>
      </c>
      <c r="G34" s="292">
        <f t="shared" si="3"/>
        <v>0.6</v>
      </c>
      <c r="H34" s="292">
        <f t="shared" si="3"/>
        <v>0.6</v>
      </c>
    </row>
    <row r="35" spans="1:8" x14ac:dyDescent="0.2">
      <c r="A35" s="92" t="s">
        <v>166</v>
      </c>
      <c r="B35" s="406">
        <f>B32*B33</f>
        <v>5445.0004000000008</v>
      </c>
      <c r="C35" s="406">
        <f t="shared" ref="C35:H35" si="4">C32*C33</f>
        <v>8167.500600000003</v>
      </c>
      <c r="D35" s="406">
        <f t="shared" si="4"/>
        <v>10890.000800000002</v>
      </c>
      <c r="E35" s="406">
        <f t="shared" si="4"/>
        <v>13612.501000000002</v>
      </c>
      <c r="F35" s="406">
        <f t="shared" si="4"/>
        <v>16335.001200000002</v>
      </c>
      <c r="G35" s="406">
        <f t="shared" si="4"/>
        <v>19057.501400000005</v>
      </c>
      <c r="H35" s="406">
        <f t="shared" si="4"/>
        <v>18688.609600000003</v>
      </c>
    </row>
    <row r="36" spans="1:8" x14ac:dyDescent="0.2">
      <c r="A36" s="92" t="s">
        <v>167</v>
      </c>
      <c r="B36" s="110"/>
      <c r="C36" s="110"/>
      <c r="D36" s="110"/>
      <c r="E36" s="110"/>
      <c r="F36" s="110"/>
      <c r="G36" s="110"/>
      <c r="H36" s="110"/>
    </row>
    <row r="37" spans="1:8" x14ac:dyDescent="0.2">
      <c r="A37" s="90" t="str">
        <f t="shared" ref="A37:A55" si="5">A13</f>
        <v>Soybean</v>
      </c>
      <c r="B37" s="91">
        <f>B13*$B$34</f>
        <v>676.24200000000008</v>
      </c>
      <c r="C37" s="91">
        <f t="shared" ref="C37:H37" si="6">C13*$B$34</f>
        <v>1014.3630000000003</v>
      </c>
      <c r="D37" s="91">
        <f t="shared" si="6"/>
        <v>1352.4840000000002</v>
      </c>
      <c r="E37" s="91">
        <f t="shared" si="6"/>
        <v>1690.605</v>
      </c>
      <c r="F37" s="91">
        <f t="shared" si="6"/>
        <v>2028.7259999999999</v>
      </c>
      <c r="G37" s="91">
        <f t="shared" si="6"/>
        <v>2366.8469999999998</v>
      </c>
      <c r="H37" s="91">
        <f t="shared" si="6"/>
        <v>2704.9679999999998</v>
      </c>
    </row>
    <row r="38" spans="1:8" x14ac:dyDescent="0.2">
      <c r="A38" s="90" t="str">
        <f t="shared" si="5"/>
        <v>Red Gram/Tur</v>
      </c>
      <c r="B38" s="91">
        <f t="shared" ref="B38:B55" si="7">B14*$B$34</f>
        <v>2294.3924999999999</v>
      </c>
      <c r="C38" s="91">
        <f t="shared" ref="C38:C55" si="8">C14*$C$34</f>
        <v>3441.5887500000003</v>
      </c>
      <c r="D38" s="91">
        <f t="shared" ref="D38:D55" si="9">D14*$D$34</f>
        <v>4588.7849999999999</v>
      </c>
      <c r="E38" s="91">
        <f t="shared" ref="E38:E55" si="10">E14*$E$34</f>
        <v>5735.9812499999998</v>
      </c>
      <c r="F38" s="91">
        <f t="shared" ref="F38:F55" si="11">F14*$F$34</f>
        <v>6883.1774999999998</v>
      </c>
      <c r="G38" s="91">
        <f t="shared" ref="G38:G55" si="12">G14*$G$34</f>
        <v>8030.3737499999988</v>
      </c>
      <c r="H38" s="91">
        <f t="shared" ref="H38:H55" si="13">H14*$H$34</f>
        <v>9177.57</v>
      </c>
    </row>
    <row r="39" spans="1:8" x14ac:dyDescent="0.2">
      <c r="A39" s="90" t="str">
        <f t="shared" si="5"/>
        <v>Paddy/Rice</v>
      </c>
      <c r="B39" s="91">
        <f t="shared" si="7"/>
        <v>0</v>
      </c>
      <c r="C39" s="91">
        <f t="shared" si="8"/>
        <v>0</v>
      </c>
      <c r="D39" s="91">
        <f t="shared" si="9"/>
        <v>0</v>
      </c>
      <c r="E39" s="91">
        <f t="shared" si="10"/>
        <v>0</v>
      </c>
      <c r="F39" s="91">
        <f t="shared" si="11"/>
        <v>0</v>
      </c>
      <c r="G39" s="91">
        <f t="shared" si="12"/>
        <v>0</v>
      </c>
      <c r="H39" s="91">
        <f t="shared" si="13"/>
        <v>0</v>
      </c>
    </row>
    <row r="40" spans="1:8" x14ac:dyDescent="0.2">
      <c r="A40" s="90" t="str">
        <f t="shared" si="5"/>
        <v>Green Gram/ Moong</v>
      </c>
      <c r="B40" s="91">
        <f t="shared" si="7"/>
        <v>657.45749999999998</v>
      </c>
      <c r="C40" s="91">
        <f t="shared" si="8"/>
        <v>986.18625000000009</v>
      </c>
      <c r="D40" s="91">
        <f t="shared" si="9"/>
        <v>1314.915</v>
      </c>
      <c r="E40" s="91">
        <f t="shared" si="10"/>
        <v>1643.64375</v>
      </c>
      <c r="F40" s="91">
        <f t="shared" si="11"/>
        <v>1972.3724999999999</v>
      </c>
      <c r="G40" s="91">
        <f t="shared" si="12"/>
        <v>2301.1012499999997</v>
      </c>
      <c r="H40" s="91">
        <f t="shared" si="13"/>
        <v>2629.8299999999995</v>
      </c>
    </row>
    <row r="41" spans="1:8" x14ac:dyDescent="0.2">
      <c r="A41" s="90" t="str">
        <f t="shared" si="5"/>
        <v>Maize</v>
      </c>
      <c r="B41" s="91">
        <f t="shared" si="7"/>
        <v>0</v>
      </c>
      <c r="C41" s="91">
        <f t="shared" si="8"/>
        <v>0</v>
      </c>
      <c r="D41" s="91">
        <f t="shared" si="9"/>
        <v>0</v>
      </c>
      <c r="E41" s="91">
        <f t="shared" si="10"/>
        <v>0</v>
      </c>
      <c r="F41" s="91">
        <f t="shared" si="11"/>
        <v>0</v>
      </c>
      <c r="G41" s="91">
        <f t="shared" si="12"/>
        <v>0</v>
      </c>
      <c r="H41" s="91">
        <f t="shared" si="13"/>
        <v>0</v>
      </c>
    </row>
    <row r="42" spans="1:8" x14ac:dyDescent="0.2">
      <c r="A42" s="90" t="str">
        <f t="shared" si="5"/>
        <v>Black Gram/Udid</v>
      </c>
      <c r="B42" s="91">
        <f t="shared" si="7"/>
        <v>48.302999999999997</v>
      </c>
      <c r="C42" s="91">
        <f t="shared" si="8"/>
        <v>72.454499999999996</v>
      </c>
      <c r="D42" s="91">
        <f t="shared" si="9"/>
        <v>96.605999999999995</v>
      </c>
      <c r="E42" s="91">
        <f t="shared" si="10"/>
        <v>120.75749999999999</v>
      </c>
      <c r="F42" s="91">
        <f t="shared" si="11"/>
        <v>144.90899999999999</v>
      </c>
      <c r="G42" s="91">
        <f t="shared" si="12"/>
        <v>169.06049999999999</v>
      </c>
      <c r="H42" s="91">
        <f t="shared" si="13"/>
        <v>193.21199999999999</v>
      </c>
    </row>
    <row r="43" spans="1:8" x14ac:dyDescent="0.2">
      <c r="A43" s="90" t="str">
        <f t="shared" si="5"/>
        <v>Bajra</v>
      </c>
      <c r="B43" s="91">
        <f t="shared" si="7"/>
        <v>52.596600000000002</v>
      </c>
      <c r="C43" s="91">
        <f t="shared" si="8"/>
        <v>78.894900000000021</v>
      </c>
      <c r="D43" s="91">
        <f t="shared" si="9"/>
        <v>105.19320000000002</v>
      </c>
      <c r="E43" s="91">
        <f t="shared" si="10"/>
        <v>131.4915</v>
      </c>
      <c r="F43" s="91">
        <f t="shared" si="11"/>
        <v>157.78979999999999</v>
      </c>
      <c r="G43" s="91">
        <f t="shared" si="12"/>
        <v>184.08809999999997</v>
      </c>
      <c r="H43" s="91">
        <f t="shared" si="13"/>
        <v>210.38639999999995</v>
      </c>
    </row>
    <row r="44" spans="1:8" x14ac:dyDescent="0.2">
      <c r="A44" s="90" t="str">
        <f t="shared" si="5"/>
        <v>Jawar</v>
      </c>
      <c r="B44" s="91">
        <f t="shared" si="7"/>
        <v>0</v>
      </c>
      <c r="C44" s="91">
        <f t="shared" si="8"/>
        <v>0</v>
      </c>
      <c r="D44" s="91">
        <f t="shared" si="9"/>
        <v>0</v>
      </c>
      <c r="E44" s="91">
        <f t="shared" si="10"/>
        <v>0</v>
      </c>
      <c r="F44" s="91">
        <f t="shared" si="11"/>
        <v>0</v>
      </c>
      <c r="G44" s="91">
        <f t="shared" si="12"/>
        <v>0</v>
      </c>
      <c r="H44" s="91">
        <f t="shared" si="13"/>
        <v>0</v>
      </c>
    </row>
    <row r="45" spans="1:8" x14ac:dyDescent="0.2">
      <c r="A45" s="90" t="str">
        <f t="shared" si="5"/>
        <v>Sunflower</v>
      </c>
      <c r="B45" s="91">
        <f t="shared" si="7"/>
        <v>0</v>
      </c>
      <c r="C45" s="91">
        <f t="shared" si="8"/>
        <v>0</v>
      </c>
      <c r="D45" s="91">
        <f t="shared" si="9"/>
        <v>0</v>
      </c>
      <c r="E45" s="91">
        <f t="shared" si="10"/>
        <v>0</v>
      </c>
      <c r="F45" s="91">
        <f t="shared" si="11"/>
        <v>0</v>
      </c>
      <c r="G45" s="91">
        <f t="shared" si="12"/>
        <v>0</v>
      </c>
      <c r="H45" s="91">
        <f t="shared" si="13"/>
        <v>0</v>
      </c>
    </row>
    <row r="46" spans="1:8" x14ac:dyDescent="0.2">
      <c r="A46" s="90" t="str">
        <f t="shared" si="5"/>
        <v>Wheat</v>
      </c>
      <c r="B46" s="91">
        <f t="shared" si="7"/>
        <v>1159.2719999999999</v>
      </c>
      <c r="C46" s="91">
        <f t="shared" si="8"/>
        <v>1738.9080000000004</v>
      </c>
      <c r="D46" s="91">
        <f t="shared" si="9"/>
        <v>2318.5439999999999</v>
      </c>
      <c r="E46" s="91">
        <f t="shared" si="10"/>
        <v>2898.18</v>
      </c>
      <c r="F46" s="91">
        <f t="shared" si="11"/>
        <v>3477.8159999999998</v>
      </c>
      <c r="G46" s="91">
        <f t="shared" si="12"/>
        <v>4057.4519999999998</v>
      </c>
      <c r="H46" s="91">
        <f t="shared" si="13"/>
        <v>0</v>
      </c>
    </row>
    <row r="47" spans="1:8" x14ac:dyDescent="0.2">
      <c r="A47" s="90" t="str">
        <f t="shared" si="5"/>
        <v>Bengal Gram/Channa</v>
      </c>
      <c r="B47" s="91">
        <f t="shared" si="7"/>
        <v>1738.9080000000001</v>
      </c>
      <c r="C47" s="91">
        <f t="shared" si="8"/>
        <v>2608.3620000000005</v>
      </c>
      <c r="D47" s="91">
        <f t="shared" si="9"/>
        <v>3477.8160000000003</v>
      </c>
      <c r="E47" s="91">
        <f t="shared" si="10"/>
        <v>4347.2700000000004</v>
      </c>
      <c r="F47" s="91">
        <f t="shared" si="11"/>
        <v>5216.7240000000002</v>
      </c>
      <c r="G47" s="91">
        <f t="shared" si="12"/>
        <v>6086.1780000000008</v>
      </c>
      <c r="H47" s="91">
        <f t="shared" si="13"/>
        <v>6955.6320000000005</v>
      </c>
    </row>
    <row r="48" spans="1:8" x14ac:dyDescent="0.2">
      <c r="A48" s="90" t="str">
        <f t="shared" si="5"/>
        <v>Jawar</v>
      </c>
      <c r="B48" s="91">
        <f t="shared" si="7"/>
        <v>1325.6490000000001</v>
      </c>
      <c r="C48" s="91">
        <f t="shared" si="8"/>
        <v>1988.4735000000005</v>
      </c>
      <c r="D48" s="91">
        <f t="shared" si="9"/>
        <v>2651.2980000000002</v>
      </c>
      <c r="E48" s="91">
        <f t="shared" si="10"/>
        <v>3314.1224999999999</v>
      </c>
      <c r="F48" s="91">
        <f t="shared" si="11"/>
        <v>3976.9469999999997</v>
      </c>
      <c r="G48" s="91">
        <f t="shared" si="12"/>
        <v>4639.7714999999998</v>
      </c>
      <c r="H48" s="91">
        <f t="shared" si="13"/>
        <v>5302.5959999999995</v>
      </c>
    </row>
    <row r="49" spans="1:8" x14ac:dyDescent="0.2">
      <c r="A49" s="90" t="str">
        <f t="shared" si="5"/>
        <v>Maize</v>
      </c>
      <c r="B49" s="91">
        <f t="shared" si="7"/>
        <v>214.68</v>
      </c>
      <c r="C49" s="91">
        <f t="shared" si="8"/>
        <v>322.02000000000004</v>
      </c>
      <c r="D49" s="91">
        <f t="shared" si="9"/>
        <v>429.36</v>
      </c>
      <c r="E49" s="91">
        <f t="shared" si="10"/>
        <v>536.69999999999993</v>
      </c>
      <c r="F49" s="91">
        <f t="shared" si="11"/>
        <v>644.03999999999985</v>
      </c>
      <c r="G49" s="91">
        <f t="shared" si="12"/>
        <v>751.37999999999977</v>
      </c>
      <c r="H49" s="91">
        <f t="shared" si="13"/>
        <v>858.71999999999969</v>
      </c>
    </row>
    <row r="50" spans="1:8" x14ac:dyDescent="0.2">
      <c r="A50" s="90" t="str">
        <f t="shared" si="5"/>
        <v>Safflower</v>
      </c>
      <c r="B50" s="91">
        <f t="shared" si="7"/>
        <v>0</v>
      </c>
      <c r="C50" s="91">
        <f t="shared" si="8"/>
        <v>0</v>
      </c>
      <c r="D50" s="91">
        <f t="shared" si="9"/>
        <v>0</v>
      </c>
      <c r="E50" s="91">
        <f t="shared" si="10"/>
        <v>0</v>
      </c>
      <c r="F50" s="91">
        <f t="shared" si="11"/>
        <v>0</v>
      </c>
      <c r="G50" s="91">
        <f t="shared" si="12"/>
        <v>0</v>
      </c>
      <c r="H50" s="91">
        <f t="shared" si="13"/>
        <v>0</v>
      </c>
    </row>
    <row r="51" spans="1:8" x14ac:dyDescent="0.2">
      <c r="A51" s="90">
        <f t="shared" si="5"/>
        <v>0</v>
      </c>
      <c r="B51" s="91">
        <f t="shared" si="7"/>
        <v>0</v>
      </c>
      <c r="C51" s="91">
        <f t="shared" si="8"/>
        <v>0</v>
      </c>
      <c r="D51" s="91">
        <f t="shared" si="9"/>
        <v>0</v>
      </c>
      <c r="E51" s="91">
        <f t="shared" si="10"/>
        <v>0</v>
      </c>
      <c r="F51" s="91">
        <f t="shared" si="11"/>
        <v>0</v>
      </c>
      <c r="G51" s="91">
        <f t="shared" si="12"/>
        <v>0</v>
      </c>
      <c r="H51" s="91">
        <f t="shared" si="13"/>
        <v>0</v>
      </c>
    </row>
    <row r="52" spans="1:8" x14ac:dyDescent="0.2">
      <c r="A52" s="90">
        <f t="shared" si="5"/>
        <v>0</v>
      </c>
      <c r="B52" s="91">
        <f t="shared" si="7"/>
        <v>0</v>
      </c>
      <c r="C52" s="91">
        <f t="shared" si="8"/>
        <v>0</v>
      </c>
      <c r="D52" s="91">
        <f t="shared" si="9"/>
        <v>0</v>
      </c>
      <c r="E52" s="91">
        <f t="shared" si="10"/>
        <v>0</v>
      </c>
      <c r="F52" s="91">
        <f t="shared" si="11"/>
        <v>0</v>
      </c>
      <c r="G52" s="91">
        <f t="shared" si="12"/>
        <v>0</v>
      </c>
      <c r="H52" s="91">
        <f t="shared" si="13"/>
        <v>0</v>
      </c>
    </row>
    <row r="53" spans="1:8" x14ac:dyDescent="0.2">
      <c r="A53" s="90">
        <f t="shared" si="5"/>
        <v>0</v>
      </c>
      <c r="B53" s="91">
        <f t="shared" si="7"/>
        <v>0</v>
      </c>
      <c r="C53" s="91">
        <f t="shared" si="8"/>
        <v>0</v>
      </c>
      <c r="D53" s="91">
        <f t="shared" si="9"/>
        <v>0</v>
      </c>
      <c r="E53" s="91">
        <f t="shared" si="10"/>
        <v>0</v>
      </c>
      <c r="F53" s="91">
        <f t="shared" si="11"/>
        <v>0</v>
      </c>
      <c r="G53" s="91">
        <f t="shared" si="12"/>
        <v>0</v>
      </c>
      <c r="H53" s="91">
        <f t="shared" si="13"/>
        <v>0</v>
      </c>
    </row>
    <row r="54" spans="1:8" x14ac:dyDescent="0.2">
      <c r="A54" s="90" t="str">
        <f t="shared" si="5"/>
        <v>Groundnut</v>
      </c>
      <c r="B54" s="91">
        <f t="shared" si="7"/>
        <v>0</v>
      </c>
      <c r="C54" s="91">
        <f t="shared" si="8"/>
        <v>0</v>
      </c>
      <c r="D54" s="91">
        <f t="shared" si="9"/>
        <v>0</v>
      </c>
      <c r="E54" s="91">
        <f t="shared" si="10"/>
        <v>0</v>
      </c>
      <c r="F54" s="91">
        <f t="shared" si="11"/>
        <v>0</v>
      </c>
      <c r="G54" s="91">
        <f t="shared" si="12"/>
        <v>0</v>
      </c>
      <c r="H54" s="91">
        <f t="shared" si="13"/>
        <v>0</v>
      </c>
    </row>
    <row r="55" spans="1:8" x14ac:dyDescent="0.2">
      <c r="A55" s="90">
        <f t="shared" si="5"/>
        <v>0</v>
      </c>
      <c r="B55" s="91">
        <f t="shared" si="7"/>
        <v>0</v>
      </c>
      <c r="C55" s="91">
        <f t="shared" si="8"/>
        <v>0</v>
      </c>
      <c r="D55" s="91">
        <f t="shared" si="9"/>
        <v>0</v>
      </c>
      <c r="E55" s="91">
        <f t="shared" si="10"/>
        <v>0</v>
      </c>
      <c r="F55" s="91">
        <f t="shared" si="11"/>
        <v>0</v>
      </c>
      <c r="G55" s="91">
        <f t="shared" si="12"/>
        <v>0</v>
      </c>
      <c r="H55" s="91">
        <f t="shared" si="13"/>
        <v>0</v>
      </c>
    </row>
    <row r="56" spans="1:8" x14ac:dyDescent="0.2">
      <c r="A56" s="90"/>
      <c r="B56" s="90"/>
      <c r="C56" s="90"/>
      <c r="D56" s="90"/>
      <c r="E56" s="90"/>
      <c r="F56" s="90"/>
      <c r="G56" s="90"/>
      <c r="H56" s="90"/>
    </row>
    <row r="57" spans="1:8" x14ac:dyDescent="0.2">
      <c r="A57" s="92" t="s">
        <v>287</v>
      </c>
      <c r="B57" s="90"/>
      <c r="C57" s="90"/>
      <c r="D57" s="90"/>
      <c r="E57" s="90"/>
      <c r="F57" s="90"/>
      <c r="G57" s="90"/>
      <c r="H57" s="90"/>
    </row>
    <row r="58" spans="1:8" x14ac:dyDescent="0.2">
      <c r="A58" s="90" t="str">
        <f>A37</f>
        <v>Soybean</v>
      </c>
      <c r="B58" s="90"/>
      <c r="C58" s="90"/>
      <c r="D58" s="90"/>
      <c r="E58" s="90"/>
      <c r="F58" s="90"/>
      <c r="G58" s="90"/>
      <c r="H58" s="90"/>
    </row>
    <row r="59" spans="1:8" x14ac:dyDescent="0.2">
      <c r="A59" s="90"/>
      <c r="B59" s="90"/>
      <c r="C59" s="90"/>
      <c r="D59" s="90"/>
      <c r="E59" s="90"/>
      <c r="F59" s="90"/>
      <c r="G59" s="90"/>
      <c r="H59" s="90"/>
    </row>
    <row r="60" spans="1:8" x14ac:dyDescent="0.2">
      <c r="A60" s="90"/>
      <c r="B60" s="90"/>
      <c r="C60" s="90"/>
      <c r="D60" s="90"/>
      <c r="E60" s="90"/>
      <c r="F60" s="90"/>
      <c r="G60" s="90"/>
      <c r="H60" s="90"/>
    </row>
    <row r="61" spans="1:8" x14ac:dyDescent="0.2">
      <c r="A61" s="90"/>
      <c r="B61" s="90"/>
      <c r="C61" s="90"/>
      <c r="D61" s="90"/>
      <c r="E61" s="90"/>
      <c r="F61" s="90"/>
      <c r="G61" s="90"/>
      <c r="H61" s="90"/>
    </row>
    <row r="62" spans="1:8" x14ac:dyDescent="0.2">
      <c r="A62" s="90" t="str">
        <f>A38</f>
        <v>Red Gram/Tur</v>
      </c>
      <c r="B62" s="185"/>
      <c r="C62" s="185"/>
      <c r="D62" s="185"/>
      <c r="E62" s="185"/>
      <c r="F62" s="185"/>
      <c r="G62" s="185"/>
      <c r="H62" s="185"/>
    </row>
    <row r="63" spans="1:8" x14ac:dyDescent="0.2">
      <c r="A63" s="90" t="s">
        <v>461</v>
      </c>
      <c r="B63" s="185">
        <f>B38*80%</f>
        <v>1835.5140000000001</v>
      </c>
      <c r="C63" s="185">
        <f t="shared" ref="C63:H63" si="14">C38*80%</f>
        <v>2753.2710000000006</v>
      </c>
      <c r="D63" s="185">
        <f t="shared" si="14"/>
        <v>3671.0280000000002</v>
      </c>
      <c r="E63" s="185">
        <f t="shared" si="14"/>
        <v>4588.7849999999999</v>
      </c>
      <c r="F63" s="185">
        <f t="shared" si="14"/>
        <v>5506.5420000000004</v>
      </c>
      <c r="G63" s="185">
        <f t="shared" si="14"/>
        <v>6424.2989999999991</v>
      </c>
      <c r="H63" s="185">
        <f t="shared" si="14"/>
        <v>7342.0560000000005</v>
      </c>
    </row>
    <row r="64" spans="1:8" x14ac:dyDescent="0.2">
      <c r="A64" s="90" t="s">
        <v>141</v>
      </c>
      <c r="B64" s="185">
        <f>B38*20%</f>
        <v>458.87850000000003</v>
      </c>
      <c r="C64" s="185">
        <f t="shared" ref="C64:H64" si="15">C38*20%</f>
        <v>688.31775000000016</v>
      </c>
      <c r="D64" s="185">
        <f t="shared" si="15"/>
        <v>917.75700000000006</v>
      </c>
      <c r="E64" s="185">
        <f t="shared" si="15"/>
        <v>1147.19625</v>
      </c>
      <c r="F64" s="185">
        <f t="shared" si="15"/>
        <v>1376.6355000000001</v>
      </c>
      <c r="G64" s="185">
        <f t="shared" si="15"/>
        <v>1606.0747499999998</v>
      </c>
      <c r="H64" s="185">
        <f t="shared" si="15"/>
        <v>1835.5140000000001</v>
      </c>
    </row>
    <row r="65" spans="1:8" x14ac:dyDescent="0.2">
      <c r="A65" s="90" t="str">
        <f>A39</f>
        <v>Paddy/Rice</v>
      </c>
      <c r="B65" s="91"/>
      <c r="C65" s="91"/>
      <c r="D65" s="91"/>
      <c r="E65" s="91"/>
      <c r="F65" s="91"/>
      <c r="G65" s="91"/>
      <c r="H65" s="91"/>
    </row>
    <row r="66" spans="1:8" x14ac:dyDescent="0.2">
      <c r="A66" s="90"/>
      <c r="B66" s="91"/>
      <c r="C66" s="91"/>
      <c r="D66" s="91"/>
      <c r="E66" s="91"/>
      <c r="F66" s="91"/>
      <c r="G66" s="91"/>
      <c r="H66" s="91"/>
    </row>
    <row r="67" spans="1:8" x14ac:dyDescent="0.2">
      <c r="A67" s="90"/>
      <c r="B67" s="91"/>
      <c r="C67" s="91"/>
      <c r="D67" s="91"/>
      <c r="E67" s="91"/>
      <c r="F67" s="91"/>
      <c r="G67" s="91"/>
      <c r="H67" s="91"/>
    </row>
    <row r="68" spans="1:8" x14ac:dyDescent="0.2">
      <c r="A68" s="90"/>
      <c r="B68" s="91"/>
      <c r="C68" s="91"/>
      <c r="D68" s="91"/>
      <c r="E68" s="91"/>
      <c r="F68" s="91"/>
      <c r="G68" s="91"/>
      <c r="H68" s="91"/>
    </row>
    <row r="69" spans="1:8" x14ac:dyDescent="0.2">
      <c r="A69" s="90" t="str">
        <f>A40</f>
        <v>Green Gram/ Moong</v>
      </c>
      <c r="B69" s="91"/>
      <c r="C69" s="91"/>
      <c r="D69" s="91"/>
      <c r="E69" s="91"/>
      <c r="F69" s="91"/>
      <c r="G69" s="91"/>
      <c r="H69" s="91"/>
    </row>
    <row r="70" spans="1:8" x14ac:dyDescent="0.2">
      <c r="A70" s="90" t="s">
        <v>461</v>
      </c>
      <c r="B70" s="91">
        <f>B40*80%</f>
        <v>525.96600000000001</v>
      </c>
      <c r="C70" s="91">
        <f t="shared" ref="C70:H70" si="16">C40*80%</f>
        <v>788.94900000000007</v>
      </c>
      <c r="D70" s="91">
        <f t="shared" si="16"/>
        <v>1051.932</v>
      </c>
      <c r="E70" s="91">
        <f t="shared" si="16"/>
        <v>1314.915</v>
      </c>
      <c r="F70" s="91">
        <f t="shared" si="16"/>
        <v>1577.8980000000001</v>
      </c>
      <c r="G70" s="91">
        <f t="shared" si="16"/>
        <v>1840.8809999999999</v>
      </c>
      <c r="H70" s="91">
        <f t="shared" si="16"/>
        <v>2103.8639999999996</v>
      </c>
    </row>
    <row r="71" spans="1:8" x14ac:dyDescent="0.2">
      <c r="A71" s="90" t="s">
        <v>141</v>
      </c>
      <c r="B71" s="91">
        <f>B40*20%</f>
        <v>131.4915</v>
      </c>
      <c r="C71" s="91">
        <f t="shared" ref="C71:H71" si="17">C40*20%</f>
        <v>197.23725000000002</v>
      </c>
      <c r="D71" s="91">
        <f t="shared" si="17"/>
        <v>262.983</v>
      </c>
      <c r="E71" s="91">
        <f t="shared" si="17"/>
        <v>328.72874999999999</v>
      </c>
      <c r="F71" s="91">
        <f t="shared" si="17"/>
        <v>394.47450000000003</v>
      </c>
      <c r="G71" s="91">
        <f t="shared" si="17"/>
        <v>460.22024999999996</v>
      </c>
      <c r="H71" s="91">
        <f t="shared" si="17"/>
        <v>525.96599999999989</v>
      </c>
    </row>
    <row r="72" spans="1:8" x14ac:dyDescent="0.2">
      <c r="A72" s="90" t="str">
        <f>A41</f>
        <v>Maize</v>
      </c>
      <c r="B72" s="91"/>
      <c r="C72" s="91"/>
      <c r="D72" s="91"/>
      <c r="E72" s="91"/>
      <c r="F72" s="91"/>
      <c r="G72" s="91"/>
      <c r="H72" s="91"/>
    </row>
    <row r="73" spans="1:8" x14ac:dyDescent="0.2">
      <c r="A73" s="90"/>
      <c r="B73" s="91"/>
      <c r="C73" s="91"/>
      <c r="D73" s="91"/>
      <c r="E73" s="91"/>
      <c r="F73" s="91"/>
      <c r="G73" s="91"/>
      <c r="H73" s="91"/>
    </row>
    <row r="74" spans="1:8" x14ac:dyDescent="0.2">
      <c r="A74" s="90"/>
      <c r="B74" s="91"/>
      <c r="C74" s="91"/>
      <c r="D74" s="91"/>
      <c r="E74" s="91"/>
      <c r="F74" s="91"/>
      <c r="G74" s="91"/>
      <c r="H74" s="91"/>
    </row>
    <row r="75" spans="1:8" x14ac:dyDescent="0.2">
      <c r="A75" s="90"/>
      <c r="B75" s="91"/>
      <c r="C75" s="91"/>
      <c r="D75" s="91"/>
      <c r="E75" s="91"/>
      <c r="F75" s="91"/>
      <c r="G75" s="91"/>
      <c r="H75" s="91"/>
    </row>
    <row r="76" spans="1:8" x14ac:dyDescent="0.2">
      <c r="A76" s="90"/>
      <c r="B76" s="91"/>
      <c r="C76" s="91"/>
      <c r="D76" s="91"/>
      <c r="E76" s="91"/>
      <c r="F76" s="91"/>
      <c r="G76" s="91"/>
      <c r="H76" s="91"/>
    </row>
    <row r="77" spans="1:8" x14ac:dyDescent="0.2">
      <c r="A77" s="90" t="str">
        <f>A42</f>
        <v>Black Gram/Udid</v>
      </c>
      <c r="B77" s="91"/>
      <c r="C77" s="91"/>
      <c r="D77" s="91"/>
      <c r="E77" s="91"/>
      <c r="F77" s="91"/>
      <c r="G77" s="91"/>
      <c r="H77" s="91"/>
    </row>
    <row r="78" spans="1:8" x14ac:dyDescent="0.2">
      <c r="A78" s="90" t="s">
        <v>461</v>
      </c>
      <c r="B78" s="91">
        <f t="shared" ref="B78:H78" si="18">B42*80%</f>
        <v>38.642400000000002</v>
      </c>
      <c r="C78" s="91">
        <f t="shared" si="18"/>
        <v>57.9636</v>
      </c>
      <c r="D78" s="91">
        <f t="shared" si="18"/>
        <v>77.284800000000004</v>
      </c>
      <c r="E78" s="91">
        <f t="shared" si="18"/>
        <v>96.605999999999995</v>
      </c>
      <c r="F78" s="91">
        <f t="shared" si="18"/>
        <v>115.9272</v>
      </c>
      <c r="G78" s="91">
        <f t="shared" si="18"/>
        <v>135.2484</v>
      </c>
      <c r="H78" s="91">
        <f t="shared" si="18"/>
        <v>154.56960000000001</v>
      </c>
    </row>
    <row r="79" spans="1:8" x14ac:dyDescent="0.2">
      <c r="A79" s="90" t="s">
        <v>141</v>
      </c>
      <c r="B79" s="91">
        <f t="shared" ref="B79:H79" si="19">B42*20%</f>
        <v>9.6606000000000005</v>
      </c>
      <c r="C79" s="91">
        <f t="shared" si="19"/>
        <v>14.4909</v>
      </c>
      <c r="D79" s="91">
        <f t="shared" si="19"/>
        <v>19.321200000000001</v>
      </c>
      <c r="E79" s="91">
        <f t="shared" si="19"/>
        <v>24.151499999999999</v>
      </c>
      <c r="F79" s="91">
        <f t="shared" si="19"/>
        <v>28.9818</v>
      </c>
      <c r="G79" s="91">
        <f t="shared" si="19"/>
        <v>33.812100000000001</v>
      </c>
      <c r="H79" s="91">
        <f t="shared" si="19"/>
        <v>38.642400000000002</v>
      </c>
    </row>
    <row r="80" spans="1:8" x14ac:dyDescent="0.2">
      <c r="A80" s="90" t="str">
        <f>A43</f>
        <v>Bajra</v>
      </c>
      <c r="B80" s="91"/>
      <c r="C80" s="91"/>
      <c r="D80" s="91"/>
      <c r="E80" s="91"/>
      <c r="F80" s="91"/>
      <c r="G80" s="91"/>
      <c r="H80" s="91"/>
    </row>
    <row r="81" spans="1:8" x14ac:dyDescent="0.2">
      <c r="A81" s="90"/>
      <c r="B81" s="91"/>
      <c r="C81" s="91"/>
      <c r="D81" s="91"/>
      <c r="E81" s="91"/>
      <c r="F81" s="91"/>
      <c r="G81" s="91"/>
      <c r="H81" s="91"/>
    </row>
    <row r="82" spans="1:8" x14ac:dyDescent="0.2">
      <c r="A82" s="90"/>
      <c r="B82" s="91"/>
      <c r="C82" s="91"/>
      <c r="D82" s="91"/>
      <c r="E82" s="91"/>
      <c r="F82" s="91"/>
      <c r="G82" s="91"/>
      <c r="H82" s="91"/>
    </row>
    <row r="83" spans="1:8" x14ac:dyDescent="0.2">
      <c r="A83" s="90" t="str">
        <f>A44</f>
        <v>Jawar</v>
      </c>
      <c r="B83" s="91"/>
      <c r="C83" s="91"/>
      <c r="D83" s="91"/>
      <c r="E83" s="91"/>
      <c r="F83" s="91"/>
      <c r="G83" s="91"/>
      <c r="H83" s="91"/>
    </row>
    <row r="84" spans="1:8" x14ac:dyDescent="0.2">
      <c r="A84" s="90"/>
      <c r="B84" s="91"/>
      <c r="C84" s="91"/>
      <c r="D84" s="91"/>
      <c r="E84" s="91"/>
      <c r="F84" s="91"/>
      <c r="G84" s="91"/>
      <c r="H84" s="91"/>
    </row>
    <row r="85" spans="1:8" x14ac:dyDescent="0.2">
      <c r="A85" s="90"/>
      <c r="B85" s="91"/>
      <c r="C85" s="91"/>
      <c r="D85" s="91"/>
      <c r="E85" s="91"/>
      <c r="F85" s="91"/>
      <c r="G85" s="91"/>
      <c r="H85" s="91"/>
    </row>
    <row r="86" spans="1:8" x14ac:dyDescent="0.2">
      <c r="A86" s="90"/>
      <c r="B86" s="91"/>
      <c r="C86" s="91"/>
      <c r="D86" s="91"/>
      <c r="E86" s="91"/>
      <c r="F86" s="91"/>
      <c r="G86" s="91"/>
      <c r="H86" s="91"/>
    </row>
    <row r="87" spans="1:8" x14ac:dyDescent="0.2">
      <c r="A87" s="90" t="str">
        <f>A45</f>
        <v>Sunflower</v>
      </c>
      <c r="B87" s="91"/>
      <c r="C87" s="91"/>
      <c r="D87" s="91"/>
      <c r="E87" s="91"/>
      <c r="F87" s="91"/>
      <c r="G87" s="91"/>
      <c r="H87" s="91"/>
    </row>
    <row r="88" spans="1:8" x14ac:dyDescent="0.2">
      <c r="A88" s="90"/>
      <c r="B88" s="91"/>
      <c r="C88" s="91"/>
      <c r="D88" s="91"/>
      <c r="E88" s="91"/>
      <c r="F88" s="91"/>
      <c r="G88" s="91"/>
      <c r="H88" s="91"/>
    </row>
    <row r="89" spans="1:8" x14ac:dyDescent="0.2">
      <c r="A89" s="90"/>
      <c r="B89" s="91"/>
      <c r="C89" s="91"/>
      <c r="D89" s="91"/>
      <c r="E89" s="91"/>
      <c r="F89" s="91"/>
      <c r="G89" s="91"/>
      <c r="H89" s="91"/>
    </row>
    <row r="90" spans="1:8" x14ac:dyDescent="0.2">
      <c r="A90" s="90"/>
      <c r="B90" s="91"/>
      <c r="C90" s="91"/>
      <c r="D90" s="91"/>
      <c r="E90" s="91"/>
      <c r="F90" s="91"/>
      <c r="G90" s="91"/>
      <c r="H90" s="91"/>
    </row>
    <row r="91" spans="1:8" x14ac:dyDescent="0.2">
      <c r="A91" s="90" t="str">
        <f>A46</f>
        <v>Wheat</v>
      </c>
      <c r="B91" s="91"/>
      <c r="C91" s="91"/>
      <c r="D91" s="91"/>
      <c r="E91" s="91"/>
      <c r="F91" s="91"/>
      <c r="G91" s="91"/>
      <c r="H91" s="91"/>
    </row>
    <row r="92" spans="1:8" x14ac:dyDescent="0.2">
      <c r="A92" s="90"/>
      <c r="B92" s="91"/>
      <c r="C92" s="91"/>
      <c r="D92" s="91"/>
      <c r="E92" s="91"/>
      <c r="F92" s="91"/>
      <c r="G92" s="91"/>
      <c r="H92" s="91"/>
    </row>
    <row r="93" spans="1:8" x14ac:dyDescent="0.2">
      <c r="A93" s="90"/>
      <c r="B93" s="91"/>
      <c r="C93" s="91"/>
      <c r="D93" s="91"/>
      <c r="E93" s="91"/>
      <c r="F93" s="91"/>
      <c r="G93" s="91"/>
      <c r="H93" s="91"/>
    </row>
    <row r="94" spans="1:8" x14ac:dyDescent="0.2">
      <c r="A94" s="90" t="str">
        <f>A47</f>
        <v>Bengal Gram/Channa</v>
      </c>
      <c r="B94" s="91"/>
      <c r="C94" s="91"/>
      <c r="D94" s="91"/>
      <c r="E94" s="91"/>
      <c r="F94" s="91"/>
      <c r="G94" s="91"/>
      <c r="H94" s="91"/>
    </row>
    <row r="95" spans="1:8" x14ac:dyDescent="0.2">
      <c r="A95" s="90" t="s">
        <v>461</v>
      </c>
      <c r="B95" s="91">
        <f t="shared" ref="B95:H95" si="20">B47*80%</f>
        <v>1391.1264000000001</v>
      </c>
      <c r="C95" s="91">
        <f t="shared" si="20"/>
        <v>2086.6896000000006</v>
      </c>
      <c r="D95" s="91">
        <f t="shared" si="20"/>
        <v>2782.2528000000002</v>
      </c>
      <c r="E95" s="91">
        <f t="shared" si="20"/>
        <v>3477.8160000000007</v>
      </c>
      <c r="F95" s="91">
        <f t="shared" si="20"/>
        <v>4173.3792000000003</v>
      </c>
      <c r="G95" s="91">
        <f t="shared" si="20"/>
        <v>4868.9424000000008</v>
      </c>
      <c r="H95" s="91">
        <f t="shared" si="20"/>
        <v>5564.5056000000004</v>
      </c>
    </row>
    <row r="96" spans="1:8" x14ac:dyDescent="0.2">
      <c r="A96" s="90" t="s">
        <v>141</v>
      </c>
      <c r="B96" s="91">
        <f t="shared" ref="B96:H96" si="21">B47*20%</f>
        <v>347.78160000000003</v>
      </c>
      <c r="C96" s="91">
        <f t="shared" si="21"/>
        <v>521.67240000000015</v>
      </c>
      <c r="D96" s="91">
        <f t="shared" si="21"/>
        <v>695.56320000000005</v>
      </c>
      <c r="E96" s="91">
        <f t="shared" si="21"/>
        <v>869.45400000000018</v>
      </c>
      <c r="F96" s="91">
        <f t="shared" si="21"/>
        <v>1043.3448000000001</v>
      </c>
      <c r="G96" s="91">
        <f t="shared" si="21"/>
        <v>1217.2356000000002</v>
      </c>
      <c r="H96" s="91">
        <f t="shared" si="21"/>
        <v>1391.1264000000001</v>
      </c>
    </row>
    <row r="97" spans="1:8" x14ac:dyDescent="0.2">
      <c r="A97" s="90" t="str">
        <f>A48</f>
        <v>Jawar</v>
      </c>
      <c r="B97" s="91"/>
      <c r="C97" s="91"/>
      <c r="D97" s="91"/>
      <c r="E97" s="91"/>
      <c r="F97" s="91"/>
      <c r="G97" s="91"/>
      <c r="H97" s="91"/>
    </row>
    <row r="98" spans="1:8" x14ac:dyDescent="0.2">
      <c r="A98" s="90"/>
      <c r="B98" s="91"/>
      <c r="C98" s="91"/>
      <c r="D98" s="91"/>
      <c r="E98" s="91"/>
      <c r="F98" s="91"/>
      <c r="G98" s="91"/>
      <c r="H98" s="91"/>
    </row>
    <row r="99" spans="1:8" x14ac:dyDescent="0.2">
      <c r="A99" s="90"/>
      <c r="B99" s="91"/>
      <c r="C99" s="91"/>
      <c r="D99" s="91"/>
      <c r="E99" s="91"/>
      <c r="F99" s="91"/>
      <c r="G99" s="91"/>
      <c r="H99" s="91"/>
    </row>
    <row r="100" spans="1:8" x14ac:dyDescent="0.2">
      <c r="A100" s="90" t="str">
        <f>A49</f>
        <v>Maize</v>
      </c>
      <c r="B100" s="91"/>
      <c r="C100" s="91"/>
      <c r="D100" s="91"/>
      <c r="E100" s="91"/>
      <c r="F100" s="91"/>
      <c r="G100" s="91"/>
      <c r="H100" s="91"/>
    </row>
    <row r="101" spans="1:8" x14ac:dyDescent="0.2">
      <c r="A101" s="90"/>
      <c r="B101" s="91"/>
      <c r="C101" s="91"/>
      <c r="D101" s="91"/>
      <c r="E101" s="91"/>
      <c r="F101" s="91"/>
      <c r="G101" s="91"/>
      <c r="H101" s="91"/>
    </row>
    <row r="102" spans="1:8" x14ac:dyDescent="0.2">
      <c r="A102" s="90"/>
      <c r="B102" s="91"/>
      <c r="C102" s="91"/>
      <c r="D102" s="91"/>
      <c r="E102" s="91"/>
      <c r="F102" s="91"/>
      <c r="G102" s="91"/>
      <c r="H102" s="91"/>
    </row>
    <row r="103" spans="1:8" x14ac:dyDescent="0.2">
      <c r="A103" s="90" t="str">
        <f>A50</f>
        <v>Safflower</v>
      </c>
      <c r="B103" s="91"/>
      <c r="C103" s="91"/>
      <c r="D103" s="91"/>
      <c r="E103" s="91"/>
      <c r="F103" s="91"/>
      <c r="G103" s="91"/>
      <c r="H103" s="91"/>
    </row>
    <row r="104" spans="1:8" x14ac:dyDescent="0.2">
      <c r="A104" s="90"/>
      <c r="B104" s="91"/>
      <c r="C104" s="91"/>
      <c r="D104" s="91"/>
      <c r="E104" s="91"/>
      <c r="F104" s="91"/>
      <c r="G104" s="91"/>
      <c r="H104" s="91"/>
    </row>
    <row r="105" spans="1:8" x14ac:dyDescent="0.2">
      <c r="A105" s="90"/>
      <c r="B105" s="91"/>
      <c r="C105" s="91"/>
      <c r="D105" s="91"/>
      <c r="E105" s="91"/>
      <c r="F105" s="91"/>
      <c r="G105" s="91"/>
      <c r="H105" s="91"/>
    </row>
    <row r="106" spans="1:8" x14ac:dyDescent="0.2">
      <c r="A106" s="90">
        <f>A51</f>
        <v>0</v>
      </c>
      <c r="B106" s="91"/>
      <c r="C106" s="91"/>
      <c r="D106" s="91"/>
      <c r="E106" s="91"/>
      <c r="F106" s="91"/>
      <c r="G106" s="91"/>
      <c r="H106" s="91"/>
    </row>
    <row r="107" spans="1:8" x14ac:dyDescent="0.2">
      <c r="A107" s="90"/>
      <c r="B107" s="91"/>
      <c r="C107" s="91"/>
      <c r="D107" s="91"/>
      <c r="E107" s="91"/>
      <c r="F107" s="91"/>
      <c r="G107" s="91"/>
      <c r="H107" s="91"/>
    </row>
    <row r="108" spans="1:8" x14ac:dyDescent="0.2">
      <c r="A108" s="90"/>
      <c r="B108" s="91"/>
      <c r="C108" s="91"/>
      <c r="D108" s="91"/>
      <c r="E108" s="91"/>
      <c r="F108" s="91"/>
      <c r="G108" s="91"/>
      <c r="H108" s="91"/>
    </row>
    <row r="109" spans="1:8" x14ac:dyDescent="0.2">
      <c r="A109" s="90">
        <f>A52</f>
        <v>0</v>
      </c>
      <c r="B109" s="91"/>
      <c r="C109" s="91"/>
      <c r="D109" s="91"/>
      <c r="E109" s="91"/>
      <c r="F109" s="91"/>
      <c r="G109" s="91"/>
      <c r="H109" s="91"/>
    </row>
    <row r="110" spans="1:8" x14ac:dyDescent="0.2">
      <c r="A110" s="90"/>
      <c r="B110" s="91"/>
      <c r="C110" s="91"/>
      <c r="D110" s="91"/>
      <c r="E110" s="91"/>
      <c r="F110" s="91"/>
      <c r="G110" s="91"/>
      <c r="H110" s="91"/>
    </row>
    <row r="111" spans="1:8" x14ac:dyDescent="0.2">
      <c r="A111" s="90"/>
      <c r="B111" s="91"/>
      <c r="C111" s="91"/>
      <c r="D111" s="91"/>
      <c r="E111" s="91"/>
      <c r="F111" s="91"/>
      <c r="G111" s="91"/>
      <c r="H111" s="91"/>
    </row>
    <row r="112" spans="1:8" x14ac:dyDescent="0.2">
      <c r="A112" s="90">
        <f>A53</f>
        <v>0</v>
      </c>
      <c r="B112" s="91"/>
      <c r="C112" s="91"/>
      <c r="D112" s="91"/>
      <c r="E112" s="91"/>
      <c r="F112" s="91"/>
      <c r="G112" s="91"/>
      <c r="H112" s="91"/>
    </row>
    <row r="113" spans="1:8" x14ac:dyDescent="0.2">
      <c r="A113" s="90"/>
      <c r="B113" s="91"/>
      <c r="C113" s="91"/>
      <c r="D113" s="91"/>
      <c r="E113" s="91"/>
      <c r="F113" s="91"/>
      <c r="G113" s="91"/>
      <c r="H113" s="91"/>
    </row>
    <row r="114" spans="1:8" x14ac:dyDescent="0.2">
      <c r="A114" s="90"/>
      <c r="B114" s="91"/>
      <c r="C114" s="91"/>
      <c r="D114" s="91"/>
      <c r="E114" s="91"/>
      <c r="F114" s="91"/>
      <c r="G114" s="91"/>
      <c r="H114" s="91"/>
    </row>
    <row r="115" spans="1:8" x14ac:dyDescent="0.2">
      <c r="A115" s="90" t="str">
        <f>A54</f>
        <v>Groundnut</v>
      </c>
      <c r="B115" s="91"/>
      <c r="C115" s="91"/>
      <c r="D115" s="91"/>
      <c r="E115" s="91"/>
      <c r="F115" s="91"/>
      <c r="G115" s="91"/>
      <c r="H115" s="91"/>
    </row>
    <row r="116" spans="1:8" x14ac:dyDescent="0.2">
      <c r="A116" s="90"/>
      <c r="B116" s="91"/>
      <c r="C116" s="91"/>
      <c r="D116" s="91"/>
      <c r="E116" s="91"/>
      <c r="F116" s="91"/>
      <c r="G116" s="91"/>
      <c r="H116" s="91"/>
    </row>
    <row r="117" spans="1:8" x14ac:dyDescent="0.2">
      <c r="A117" s="90"/>
      <c r="B117" s="91"/>
      <c r="C117" s="91"/>
      <c r="D117" s="91"/>
      <c r="E117" s="91"/>
      <c r="F117" s="91"/>
      <c r="G117" s="91"/>
      <c r="H117" s="91"/>
    </row>
    <row r="118" spans="1:8" x14ac:dyDescent="0.2">
      <c r="A118" s="90">
        <f>A55</f>
        <v>0</v>
      </c>
      <c r="B118" s="91"/>
      <c r="C118" s="91"/>
      <c r="D118" s="91"/>
      <c r="E118" s="91"/>
      <c r="F118" s="91"/>
      <c r="G118" s="91"/>
      <c r="H118" s="91"/>
    </row>
    <row r="119" spans="1:8" x14ac:dyDescent="0.2">
      <c r="A119" s="90"/>
      <c r="B119" s="91"/>
      <c r="C119" s="91"/>
      <c r="D119" s="91"/>
      <c r="E119" s="91"/>
      <c r="F119" s="91"/>
      <c r="G119" s="91"/>
      <c r="H119" s="91"/>
    </row>
    <row r="120" spans="1:8" x14ac:dyDescent="0.2">
      <c r="A120" s="90"/>
      <c r="B120" s="91"/>
      <c r="C120" s="91"/>
      <c r="D120" s="91"/>
      <c r="E120" s="91"/>
      <c r="F120" s="91"/>
      <c r="G120" s="91"/>
      <c r="H120" s="91"/>
    </row>
    <row r="121" spans="1:8" x14ac:dyDescent="0.2">
      <c r="A121" s="90">
        <f>A56</f>
        <v>0</v>
      </c>
      <c r="B121" s="91"/>
      <c r="C121" s="91"/>
      <c r="D121" s="91"/>
      <c r="E121" s="91"/>
      <c r="F121" s="91"/>
      <c r="G121" s="91"/>
      <c r="H121" s="91"/>
    </row>
    <row r="122" spans="1:8" x14ac:dyDescent="0.2">
      <c r="A122" s="180"/>
      <c r="B122" s="274"/>
      <c r="C122" s="274"/>
      <c r="D122" s="274"/>
      <c r="E122" s="274"/>
      <c r="F122" s="274"/>
      <c r="G122" s="274"/>
      <c r="H122" s="274"/>
    </row>
    <row r="123" spans="1:8" x14ac:dyDescent="0.2">
      <c r="A123" s="180"/>
      <c r="B123" s="274"/>
      <c r="C123" s="274"/>
      <c r="D123" s="274"/>
      <c r="E123" s="274"/>
      <c r="F123" s="274"/>
      <c r="G123" s="274"/>
      <c r="H123" s="274"/>
    </row>
    <row r="124" spans="1:8" x14ac:dyDescent="0.2">
      <c r="A124" s="181" t="s">
        <v>449</v>
      </c>
      <c r="B124">
        <v>50</v>
      </c>
    </row>
    <row r="131" spans="1:15" ht="18" x14ac:dyDescent="0.2">
      <c r="A131" s="451" t="s">
        <v>585</v>
      </c>
      <c r="B131" s="451"/>
      <c r="C131" s="451"/>
      <c r="D131" s="451"/>
      <c r="E131" s="451"/>
      <c r="F131" s="451"/>
      <c r="G131" s="451"/>
      <c r="H131" s="451"/>
      <c r="I131" s="451"/>
      <c r="J131" s="451"/>
    </row>
    <row r="132" spans="1:15" x14ac:dyDescent="0.2">
      <c r="A132" s="56"/>
      <c r="B132" s="57"/>
      <c r="C132" s="57"/>
      <c r="D132" s="56"/>
      <c r="E132" s="56"/>
      <c r="F132" s="56"/>
      <c r="G132" s="56"/>
      <c r="H132" s="56"/>
    </row>
    <row r="133" spans="1:15" x14ac:dyDescent="0.2">
      <c r="A133" s="186"/>
      <c r="B133" s="186"/>
      <c r="C133" s="186"/>
      <c r="D133" s="187">
        <v>1</v>
      </c>
      <c r="E133" s="188">
        <f>(D133*5%)+D133</f>
        <v>1.05</v>
      </c>
      <c r="F133" s="188">
        <f t="shared" ref="F133:J133" si="22">(E133*5%)+E133</f>
        <v>1.1025</v>
      </c>
      <c r="G133" s="188">
        <f t="shared" si="22"/>
        <v>1.1576250000000001</v>
      </c>
      <c r="H133" s="188">
        <f t="shared" si="22"/>
        <v>1.2155062500000002</v>
      </c>
      <c r="I133" s="188">
        <f t="shared" si="22"/>
        <v>1.2762815625000004</v>
      </c>
      <c r="J133" s="188">
        <f t="shared" si="22"/>
        <v>1.3400956406250004</v>
      </c>
    </row>
    <row r="134" spans="1:15" x14ac:dyDescent="0.2">
      <c r="A134" s="89"/>
      <c r="B134" s="89"/>
      <c r="C134" s="89"/>
      <c r="D134" s="89"/>
      <c r="E134" s="89"/>
      <c r="F134" s="89"/>
      <c r="G134" s="89"/>
      <c r="H134" s="89"/>
      <c r="I134" s="89"/>
      <c r="J134" s="89"/>
    </row>
    <row r="135" spans="1:15" x14ac:dyDescent="0.2">
      <c r="A135" s="143" t="s">
        <v>0</v>
      </c>
      <c r="B135" s="143" t="s">
        <v>132</v>
      </c>
      <c r="C135" s="143" t="s">
        <v>153</v>
      </c>
      <c r="D135" s="115" t="s">
        <v>2</v>
      </c>
      <c r="E135" s="115" t="s">
        <v>3</v>
      </c>
      <c r="F135" s="115" t="s">
        <v>4</v>
      </c>
      <c r="G135" s="115" t="s">
        <v>5</v>
      </c>
      <c r="H135" s="115" t="s">
        <v>6</v>
      </c>
      <c r="I135" s="115" t="s">
        <v>170</v>
      </c>
      <c r="J135" s="115" t="s">
        <v>169</v>
      </c>
    </row>
    <row r="136" spans="1:15" x14ac:dyDescent="0.2">
      <c r="A136" s="90"/>
      <c r="B136" s="90"/>
      <c r="C136" s="90"/>
      <c r="D136" s="90"/>
      <c r="E136" s="90"/>
      <c r="F136" s="90"/>
      <c r="G136" s="90"/>
      <c r="H136" s="90"/>
      <c r="I136" s="90"/>
      <c r="J136" s="90"/>
    </row>
    <row r="137" spans="1:15" x14ac:dyDescent="0.2">
      <c r="A137" s="92" t="s">
        <v>126</v>
      </c>
      <c r="B137" s="92"/>
      <c r="C137" s="92"/>
      <c r="D137" s="109"/>
      <c r="E137" s="109"/>
      <c r="F137" s="109"/>
      <c r="G137" s="109"/>
      <c r="H137" s="109"/>
      <c r="I137" s="90"/>
      <c r="J137" s="90"/>
    </row>
    <row r="138" spans="1:15" x14ac:dyDescent="0.2">
      <c r="A138" s="92" t="s">
        <v>320</v>
      </c>
      <c r="B138" s="92"/>
      <c r="C138" s="92"/>
      <c r="D138" s="90"/>
      <c r="E138" s="90"/>
      <c r="F138" s="90"/>
      <c r="G138" s="90"/>
      <c r="H138" s="90"/>
      <c r="I138" s="90"/>
      <c r="J138" s="90"/>
      <c r="M138" s="9"/>
      <c r="N138" s="9" t="s">
        <v>760</v>
      </c>
      <c r="O138" s="9" t="s">
        <v>759</v>
      </c>
    </row>
    <row r="139" spans="1:15" x14ac:dyDescent="0.2">
      <c r="A139" s="90" t="s">
        <v>164</v>
      </c>
      <c r="B139" s="387" t="s">
        <v>361</v>
      </c>
      <c r="C139" s="387">
        <f>80*50</f>
        <v>4000</v>
      </c>
      <c r="D139" s="91">
        <f>(((B95*100)*(1-'5.Closing Stock &amp; W Capital'!$D$17))/$B$124)*$C$139*D133</f>
        <v>10572560.640000001</v>
      </c>
      <c r="E139" s="91">
        <f>E133*((((C95*100)*(1-'5.Closing Stock &amp; W Capital'!$D$17))+((B95*100)*'5.Closing Stock &amp; W Capital'!$D$17))/$B$124)*$C$139</f>
        <v>17236056.096000008</v>
      </c>
      <c r="F139" s="91">
        <f>F133*((((D95*100)*(1-'5.Closing Stock &amp; W Capital'!$D$17))+((C95*100)*'5.Closing Stock &amp; W Capital'!$D$17))/$B$124)*$C$139</f>
        <v>24232726.324800007</v>
      </c>
      <c r="G139" s="91">
        <f>G133*((((E95*100)*(1-'5.Closing Stock &amp; W Capital'!$D$17))+((D95*100)*'5.Closing Stock &amp; W Capital'!$D$17))/$B$124)*$C$139</f>
        <v>31885973.436240014</v>
      </c>
      <c r="H139" s="91">
        <f>H133*((((F95*100)*(1-'5.Closing Stock &amp; W Capital'!$D$17))+((E95*100)*'5.Closing Stock &amp; W Capital'!$D$17))/$B$124)*$C$139</f>
        <v>40243963.443012014</v>
      </c>
      <c r="I139" s="91">
        <f>I133*((((G95*100)*(1-'5.Closing Stock &amp; W Capital'!$D$17))+((F95*100)*'5.Closing Stock &amp; W Capital'!$D$17))/$B$124)*$C$139</f>
        <v>49358037.516870625</v>
      </c>
      <c r="J139" s="91">
        <f>J133*((((H95*100)*(1-'5.Closing Stock &amp; W Capital'!$D$17))+((G95*100)*'5.Closing Stock &amp; W Capital'!$D$17))/$B$124)*$C$139</f>
        <v>59282909.089507557</v>
      </c>
      <c r="M139" s="9" t="s">
        <v>164</v>
      </c>
      <c r="N139" s="421">
        <f>B38</f>
        <v>2294.3924999999999</v>
      </c>
      <c r="O139" s="9">
        <v>4000</v>
      </c>
    </row>
    <row r="140" spans="1:15" x14ac:dyDescent="0.2">
      <c r="A140" s="90" t="s">
        <v>165</v>
      </c>
      <c r="B140" s="387" t="s">
        <v>361</v>
      </c>
      <c r="C140" s="387">
        <f>80*50</f>
        <v>4000</v>
      </c>
      <c r="D140" s="91">
        <f>(((B63*100)*(1-'5.Closing Stock &amp; W Capital'!$D$17))/B124)*$C$140*D133</f>
        <v>13949906.400000002</v>
      </c>
      <c r="E140" s="91">
        <f>((((C63*100)*(1-'5.Closing Stock &amp; W Capital'!$D$17))+((B63*100)*'5.Closing Stock &amp; W Capital'!$D$17))/$B$124)*$C$140*E133</f>
        <v>22742018.460000005</v>
      </c>
      <c r="F140" s="91">
        <f>((((D63*100)*(1-'5.Closing Stock &amp; W Capital'!$D$17))+((C63*100)*'5.Closing Stock &amp; W Capital'!$D$17))/$B$124)*$C$140*F133</f>
        <v>31973736.123000003</v>
      </c>
      <c r="G140" s="91">
        <f>((((E63*100)*(1-'5.Closing Stock &amp; W Capital'!$D$17))+((D63*100)*'5.Closing Stock &amp; W Capital'!$D$17))/$B$124)*$C$140*G133</f>
        <v>42071770.50615</v>
      </c>
      <c r="H140" s="91">
        <f>((((F63*100)*(1-'5.Closing Stock &amp; W Capital'!$D$17))+((E63*100)*'5.Closing Stock &amp; W Capital'!$D$17))/$B$124)*$C$140*H133</f>
        <v>53099673.987307511</v>
      </c>
      <c r="I140" s="91">
        <f>((((G63*100)*(1-'5.Closing Stock &amp; W Capital'!$D$17))+((F63*100)*'5.Closing Stock &amp; W Capital'!$D$17))/$B$124)*$C$140*I133</f>
        <v>65125188.390315391</v>
      </c>
      <c r="J140" s="91">
        <f>((((H63*100)*(1-'5.Closing Stock &amp; W Capital'!$D$17))+((G63*100)*'5.Closing Stock &amp; W Capital'!$D$17))/$B$124)*$C$140*J133</f>
        <v>78220505.048655793</v>
      </c>
      <c r="M140" s="9" t="s">
        <v>165</v>
      </c>
      <c r="N140" s="422">
        <f>B38</f>
        <v>2294.3924999999999</v>
      </c>
      <c r="O140" s="9">
        <v>4000</v>
      </c>
    </row>
    <row r="141" spans="1:15" x14ac:dyDescent="0.2">
      <c r="A141" s="90" t="s">
        <v>321</v>
      </c>
      <c r="B141" s="387" t="s">
        <v>361</v>
      </c>
      <c r="C141" s="387">
        <f>100*50</f>
        <v>5000</v>
      </c>
      <c r="D141" s="91">
        <f>(((B78*100)*(1-'5.Closing Stock &amp; W Capital'!D17))/$B$124)*$C$141*D133</f>
        <v>367102.80000000005</v>
      </c>
      <c r="E141" s="91">
        <f>((((C78*100)*(1-'5.Closing Stock &amp; W Capital'!$D$17))+((B78*100)*'5.Closing Stock &amp; W Capital'!$D$17))/$B$124)*$C$141*E133</f>
        <v>598474.17000000004</v>
      </c>
      <c r="F141" s="91">
        <f>((((D78*100)*(1-'5.Closing Stock &amp; W Capital'!$D$17))+((C78*100)*'5.Closing Stock &amp; W Capital'!$D$17))/$B$124)*$C$141*F133</f>
        <v>841414.10850000009</v>
      </c>
      <c r="G141" s="91">
        <f>((((E78*100)*(1-'5.Closing Stock &amp; W Capital'!$D$17))+((D78*100)*'5.Closing Stock &amp; W Capital'!$D$17))/$B$124)*$C$141*G133</f>
        <v>1107151.855425</v>
      </c>
      <c r="H141" s="91">
        <f>((((F78*100)*(1-'5.Closing Stock &amp; W Capital'!$D$17))+((E78*100)*'5.Closing Stock &amp; W Capital'!$D$17))/$B$124)*$C$141*H133</f>
        <v>1397359.8417712501</v>
      </c>
      <c r="I141" s="91">
        <f>((((G78*100)*(1-'5.Closing Stock &amp; W Capital'!$D$17))+((F78*100)*'5.Closing Stock &amp; W Capital'!$D$17))/$B$124)*$C$141*I133</f>
        <v>1713820.7471135631</v>
      </c>
      <c r="J141" s="91">
        <f>((((H78*100)*(1-'5.Closing Stock &amp; W Capital'!$D$17))+((G78*100)*'5.Closing Stock &amp; W Capital'!$D$17))/$B$124)*$C$141*J133</f>
        <v>2058434.3433856789</v>
      </c>
      <c r="M141" s="9" t="s">
        <v>318</v>
      </c>
      <c r="N141" s="421">
        <f>B40</f>
        <v>657.45749999999998</v>
      </c>
      <c r="O141" s="9">
        <v>5000</v>
      </c>
    </row>
    <row r="142" spans="1:15" x14ac:dyDescent="0.2">
      <c r="A142" s="90" t="s">
        <v>319</v>
      </c>
      <c r="B142" s="387" t="s">
        <v>361</v>
      </c>
      <c r="C142" s="387">
        <f>85*50</f>
        <v>4250</v>
      </c>
      <c r="D142" s="91">
        <f>(((B70*100)*(1-'5.Closing Stock &amp; W Capital'!D17))/B124)*$C$142*D133</f>
        <v>4247175.45</v>
      </c>
      <c r="E142" s="91">
        <f>((((C70*100)*(1-'5.Closing Stock &amp; W Capital'!$D$17))+((B70*100)*'5.Closing Stock &amp; W Capital'!$D$17))/$B$124)*$C$142*E133</f>
        <v>6924013.6612499999</v>
      </c>
      <c r="F142" s="91">
        <f>((((D70*100)*(1-'5.Closing Stock &amp; W Capital'!$D$17))+((C70*100)*'5.Closing Stock &amp; W Capital'!$D$17))/$B$124)*$C$142*F133</f>
        <v>9734693.7830624972</v>
      </c>
      <c r="G142" s="91">
        <f>((((E70*100)*(1-'5.Closing Stock &amp; W Capital'!$D$17))+((D70*100)*'5.Closing Stock &amp; W Capital'!$D$17))/$B$124)*$C$142*G133</f>
        <v>12809131.882903125</v>
      </c>
      <c r="H142" s="91">
        <f>((((F70*100)*(1-'5.Closing Stock &amp; W Capital'!$D$17))+((E70*100)*'5.Closing Stock &amp; W Capital'!$D$17))/$B$124)*$C$142*H133</f>
        <v>16166677.058270162</v>
      </c>
      <c r="I142" s="91">
        <f>((((G70*100)*(1-'5.Closing Stock &amp; W Capital'!$D$17))+((F70*100)*'5.Closing Stock &amp; W Capital'!$D$17))/$B$124)*$C$142*I133</f>
        <v>19827953.921466634</v>
      </c>
      <c r="J142" s="91">
        <f>((((H70*100)*(1-'5.Closing Stock &amp; W Capital'!$D$17))+((G70*100)*'5.Closing Stock &amp; W Capital'!$D$17))/$B$124)*$C$142*J133</f>
        <v>23814941.77833708</v>
      </c>
      <c r="M142" s="9" t="s">
        <v>319</v>
      </c>
      <c r="N142" s="421">
        <f>B40</f>
        <v>657.45749999999998</v>
      </c>
      <c r="O142" s="9">
        <v>4250</v>
      </c>
    </row>
    <row r="143" spans="1:15" x14ac:dyDescent="0.2">
      <c r="A143" s="90"/>
      <c r="B143" s="387"/>
      <c r="C143" s="387"/>
      <c r="D143" s="91"/>
      <c r="E143" s="91"/>
      <c r="F143" s="91"/>
      <c r="G143" s="91"/>
      <c r="H143" s="91"/>
      <c r="I143" s="91"/>
      <c r="J143" s="91"/>
    </row>
    <row r="144" spans="1:15" x14ac:dyDescent="0.2">
      <c r="A144" s="92" t="s">
        <v>141</v>
      </c>
      <c r="B144" s="403" t="s">
        <v>362</v>
      </c>
      <c r="C144" s="403">
        <v>10</v>
      </c>
      <c r="D144" s="91">
        <f t="shared" ref="D144:J144" si="23">((B63+B95+B78+B70)*100)*$C$144*D133</f>
        <v>3791248.8</v>
      </c>
      <c r="E144" s="91">
        <f t="shared" si="23"/>
        <v>5971216.8600000022</v>
      </c>
      <c r="F144" s="91">
        <f t="shared" si="23"/>
        <v>8359703.6040000003</v>
      </c>
      <c r="G144" s="91">
        <f t="shared" si="23"/>
        <v>10972110.980250001</v>
      </c>
      <c r="H144" s="91">
        <f t="shared" si="23"/>
        <v>13824859.835115001</v>
      </c>
      <c r="I144" s="91">
        <f t="shared" si="23"/>
        <v>16935453.298015878</v>
      </c>
      <c r="J144" s="91">
        <f t="shared" si="23"/>
        <v>20322543.957619056</v>
      </c>
    </row>
    <row r="145" spans="1:10" x14ac:dyDescent="0.2">
      <c r="A145" s="90"/>
      <c r="B145" s="387"/>
      <c r="C145" s="387"/>
      <c r="D145" s="91"/>
      <c r="E145" s="91"/>
      <c r="F145" s="91"/>
      <c r="G145" s="91"/>
      <c r="H145" s="91"/>
      <c r="I145" s="91"/>
      <c r="J145" s="58">
        <f>[2]Output!T58*70*K133</f>
        <v>0</v>
      </c>
    </row>
    <row r="146" spans="1:10" x14ac:dyDescent="0.2">
      <c r="A146" s="92" t="s">
        <v>296</v>
      </c>
      <c r="B146" s="403" t="s">
        <v>362</v>
      </c>
      <c r="C146" s="387">
        <v>5</v>
      </c>
      <c r="D146" s="91">
        <f t="shared" ref="D146:J146" si="24">(B35*100)*$C$146*D133</f>
        <v>2722500.2</v>
      </c>
      <c r="E146" s="91">
        <f t="shared" si="24"/>
        <v>4287937.8150000023</v>
      </c>
      <c r="F146" s="91">
        <f t="shared" si="24"/>
        <v>6003112.9410000006</v>
      </c>
      <c r="G146" s="91">
        <f t="shared" si="24"/>
        <v>7879085.7350625005</v>
      </c>
      <c r="H146" s="91">
        <f t="shared" si="24"/>
        <v>9927648.026178753</v>
      </c>
      <c r="I146" s="91">
        <f t="shared" si="24"/>
        <v>12161368.832068974</v>
      </c>
      <c r="J146" s="91">
        <f t="shared" si="24"/>
        <v>12522262.127151269</v>
      </c>
    </row>
    <row r="147" spans="1:10" x14ac:dyDescent="0.2">
      <c r="A147" s="90"/>
      <c r="B147" s="387"/>
      <c r="C147" s="387"/>
      <c r="D147" s="91"/>
      <c r="E147" s="91"/>
      <c r="F147" s="91"/>
      <c r="G147" s="91"/>
      <c r="H147" s="91"/>
      <c r="I147" s="91"/>
      <c r="J147" s="91"/>
    </row>
    <row r="148" spans="1:10" x14ac:dyDescent="0.2">
      <c r="A148" s="92" t="s">
        <v>126</v>
      </c>
      <c r="B148" s="403"/>
      <c r="C148" s="403"/>
      <c r="D148" s="110">
        <f>SUM(D139:D146)</f>
        <v>35650494.290000007</v>
      </c>
      <c r="E148" s="110">
        <f t="shared" ref="E148:J148" si="25">SUM(E139:E146)</f>
        <v>57759717.062250018</v>
      </c>
      <c r="F148" s="110">
        <f t="shared" si="25"/>
        <v>81145386.884362504</v>
      </c>
      <c r="G148" s="110">
        <f t="shared" si="25"/>
        <v>106725224.39603063</v>
      </c>
      <c r="H148" s="110">
        <f t="shared" si="25"/>
        <v>134660182.19165468</v>
      </c>
      <c r="I148" s="110">
        <f t="shared" si="25"/>
        <v>165121822.70585108</v>
      </c>
      <c r="J148" s="110">
        <f t="shared" si="25"/>
        <v>196221596.34465644</v>
      </c>
    </row>
    <row r="149" spans="1:10" x14ac:dyDescent="0.2">
      <c r="A149" s="90"/>
      <c r="B149" s="387"/>
      <c r="C149" s="387"/>
      <c r="D149" s="91"/>
      <c r="E149" s="91"/>
      <c r="F149" s="91"/>
      <c r="G149" s="91"/>
      <c r="H149" s="91"/>
      <c r="I149" s="91"/>
      <c r="J149" s="91"/>
    </row>
    <row r="150" spans="1:10" x14ac:dyDescent="0.2">
      <c r="A150" s="92" t="s">
        <v>142</v>
      </c>
      <c r="B150" s="403"/>
      <c r="C150" s="403"/>
      <c r="D150" s="91"/>
      <c r="E150" s="91"/>
      <c r="F150" s="91"/>
      <c r="G150" s="91"/>
      <c r="H150" s="91"/>
      <c r="I150" s="91"/>
      <c r="J150" s="91"/>
    </row>
    <row r="151" spans="1:10" x14ac:dyDescent="0.2">
      <c r="A151" s="92" t="s">
        <v>314</v>
      </c>
      <c r="B151" s="403"/>
      <c r="C151" s="387"/>
      <c r="D151" s="91"/>
      <c r="E151" s="91"/>
      <c r="F151" s="91"/>
      <c r="G151" s="91"/>
      <c r="H151" s="91"/>
      <c r="I151" s="91"/>
      <c r="J151" s="91"/>
    </row>
    <row r="152" spans="1:10" x14ac:dyDescent="0.2">
      <c r="A152" s="94" t="s">
        <v>164</v>
      </c>
      <c r="B152" s="387" t="s">
        <v>363</v>
      </c>
      <c r="C152" s="388">
        <v>4800</v>
      </c>
      <c r="D152" s="91">
        <f t="shared" ref="D152:J152" si="26">(B47)*$C$152*D133</f>
        <v>8346758.4000000004</v>
      </c>
      <c r="E152" s="91">
        <f t="shared" si="26"/>
        <v>13146144.480000004</v>
      </c>
      <c r="F152" s="91">
        <f t="shared" si="26"/>
        <v>18404602.272</v>
      </c>
      <c r="G152" s="91">
        <f t="shared" si="26"/>
        <v>24156040.482000008</v>
      </c>
      <c r="H152" s="91">
        <f t="shared" si="26"/>
        <v>30436611.007320005</v>
      </c>
      <c r="I152" s="91">
        <f t="shared" si="26"/>
        <v>37284848.483967014</v>
      </c>
      <c r="J152" s="91">
        <f t="shared" si="26"/>
        <v>44741818.180760413</v>
      </c>
    </row>
    <row r="153" spans="1:10" x14ac:dyDescent="0.2">
      <c r="A153" s="90" t="s">
        <v>322</v>
      </c>
      <c r="B153" s="387" t="s">
        <v>363</v>
      </c>
      <c r="C153" s="388">
        <v>6700</v>
      </c>
      <c r="D153" s="91">
        <f t="shared" ref="D153:J153" si="27">(B38)*$C$153*D133</f>
        <v>15372429.75</v>
      </c>
      <c r="E153" s="91">
        <f t="shared" si="27"/>
        <v>24211576.856250007</v>
      </c>
      <c r="F153" s="91">
        <f t="shared" si="27"/>
        <v>33896207.598750003</v>
      </c>
      <c r="G153" s="91">
        <f t="shared" si="27"/>
        <v>44488772.473359376</v>
      </c>
      <c r="H153" s="91">
        <f t="shared" si="27"/>
        <v>56055853.316432826</v>
      </c>
      <c r="I153" s="91">
        <f t="shared" si="27"/>
        <v>68668420.312630206</v>
      </c>
      <c r="J153" s="91">
        <f t="shared" si="27"/>
        <v>82402104.375156254</v>
      </c>
    </row>
    <row r="154" spans="1:10" x14ac:dyDescent="0.2">
      <c r="A154" s="90" t="s">
        <v>323</v>
      </c>
      <c r="B154" s="387" t="s">
        <v>363</v>
      </c>
      <c r="C154" s="388">
        <v>6600</v>
      </c>
      <c r="D154" s="91">
        <f t="shared" ref="D154:J154" si="28">(B42)*$C$154*D133</f>
        <v>318799.8</v>
      </c>
      <c r="E154" s="91">
        <f t="shared" si="28"/>
        <v>502109.685</v>
      </c>
      <c r="F154" s="91">
        <f t="shared" si="28"/>
        <v>702953.55900000001</v>
      </c>
      <c r="G154" s="91">
        <f t="shared" si="28"/>
        <v>922626.54618750012</v>
      </c>
      <c r="H154" s="91">
        <f t="shared" si="28"/>
        <v>1162509.44819625</v>
      </c>
      <c r="I154" s="91">
        <f t="shared" si="28"/>
        <v>1424074.0740404066</v>
      </c>
      <c r="J154" s="91">
        <f t="shared" si="28"/>
        <v>1708888.888848488</v>
      </c>
    </row>
    <row r="155" spans="1:10" x14ac:dyDescent="0.2">
      <c r="A155" s="90" t="s">
        <v>319</v>
      </c>
      <c r="B155" s="387" t="s">
        <v>363</v>
      </c>
      <c r="C155" s="388">
        <v>6700</v>
      </c>
      <c r="D155" s="91">
        <f t="shared" ref="D155:J155" si="29">(B40)*$C$155*D133</f>
        <v>4404965.25</v>
      </c>
      <c r="E155" s="91">
        <f t="shared" si="29"/>
        <v>6937820.2687500017</v>
      </c>
      <c r="F155" s="91">
        <f t="shared" si="29"/>
        <v>9712948.3762500007</v>
      </c>
      <c r="G155" s="91">
        <f t="shared" si="29"/>
        <v>12748244.743828127</v>
      </c>
      <c r="H155" s="91">
        <f t="shared" si="29"/>
        <v>16062788.377223441</v>
      </c>
      <c r="I155" s="91">
        <f t="shared" si="29"/>
        <v>19676915.762098715</v>
      </c>
      <c r="J155" s="91">
        <f t="shared" si="29"/>
        <v>23612298.914518457</v>
      </c>
    </row>
    <row r="156" spans="1:10" x14ac:dyDescent="0.2">
      <c r="A156" s="90" t="s">
        <v>364</v>
      </c>
      <c r="B156" s="387">
        <v>15</v>
      </c>
      <c r="C156" s="387">
        <v>125</v>
      </c>
      <c r="D156" s="91">
        <f>(B32/10)*$B$156*$C$156*D133</f>
        <v>2552343.9375</v>
      </c>
      <c r="E156" s="91">
        <f t="shared" ref="E156:J156" si="30">(C32/10)*$B$156*$C$156*E133</f>
        <v>4019941.701562501</v>
      </c>
      <c r="F156" s="91">
        <f t="shared" si="30"/>
        <v>5627918.3821875006</v>
      </c>
      <c r="G156" s="91">
        <f t="shared" si="30"/>
        <v>7386642.8766210945</v>
      </c>
      <c r="H156" s="91">
        <f t="shared" si="30"/>
        <v>9307170.0245425813</v>
      </c>
      <c r="I156" s="91">
        <f t="shared" si="30"/>
        <v>11401283.280064661</v>
      </c>
      <c r="J156" s="91">
        <f t="shared" si="30"/>
        <v>11739620.744204313</v>
      </c>
    </row>
    <row r="157" spans="1:10" x14ac:dyDescent="0.2">
      <c r="A157" s="90" t="s">
        <v>324</v>
      </c>
      <c r="B157" s="387">
        <v>18</v>
      </c>
      <c r="C157" s="387">
        <v>650</v>
      </c>
      <c r="D157" s="91">
        <f t="shared" ref="D157:J157" si="31">B12*$B$157*$C$157*D133</f>
        <v>2212031.4125000001</v>
      </c>
      <c r="E157" s="91">
        <f t="shared" si="31"/>
        <v>3483949.4746875009</v>
      </c>
      <c r="F157" s="91">
        <f t="shared" si="31"/>
        <v>4877529.2645625006</v>
      </c>
      <c r="G157" s="91">
        <f t="shared" si="31"/>
        <v>6401757.1597382817</v>
      </c>
      <c r="H157" s="91">
        <f t="shared" si="31"/>
        <v>8066214.021270236</v>
      </c>
      <c r="I157" s="91">
        <f t="shared" si="31"/>
        <v>9881112.1760560405</v>
      </c>
      <c r="J157" s="91">
        <f t="shared" si="31"/>
        <v>10174337.978310404</v>
      </c>
    </row>
    <row r="158" spans="1:10" x14ac:dyDescent="0.2">
      <c r="A158" s="90" t="s">
        <v>144</v>
      </c>
      <c r="B158" s="387">
        <f>'2.Capex Details'!H54*0.746*8</f>
        <v>220.816</v>
      </c>
      <c r="C158" s="387">
        <v>15</v>
      </c>
      <c r="D158" s="91">
        <f t="shared" ref="D158:J158" si="32">$B$158*$C$158*B12*D133</f>
        <v>626220.42100333341</v>
      </c>
      <c r="E158" s="91">
        <f t="shared" si="32"/>
        <v>986297.16308025038</v>
      </c>
      <c r="F158" s="91">
        <f t="shared" si="32"/>
        <v>1380816.0283123502</v>
      </c>
      <c r="G158" s="91">
        <f t="shared" si="32"/>
        <v>1812321.03715996</v>
      </c>
      <c r="H158" s="91">
        <f t="shared" si="32"/>
        <v>2283524.5068215495</v>
      </c>
      <c r="I158" s="91">
        <f t="shared" si="32"/>
        <v>2797317.5208563986</v>
      </c>
      <c r="J158" s="91">
        <f t="shared" si="32"/>
        <v>2880328.9936135774</v>
      </c>
    </row>
    <row r="159" spans="1:10" x14ac:dyDescent="0.2">
      <c r="A159" s="90" t="s">
        <v>297</v>
      </c>
      <c r="B159" s="387"/>
      <c r="C159" s="387">
        <v>60</v>
      </c>
      <c r="D159" s="91">
        <f t="shared" ref="D159:J159" si="33">((B35*100)/50)*$C$159*D133</f>
        <v>653400.04800000007</v>
      </c>
      <c r="E159" s="91">
        <f t="shared" si="33"/>
        <v>1029105.0756000004</v>
      </c>
      <c r="F159" s="91">
        <f t="shared" si="33"/>
        <v>1440747.1058400001</v>
      </c>
      <c r="G159" s="91">
        <f t="shared" si="33"/>
        <v>1890980.5764150003</v>
      </c>
      <c r="H159" s="91">
        <f t="shared" si="33"/>
        <v>2382635.5262829009</v>
      </c>
      <c r="I159" s="91">
        <f t="shared" si="33"/>
        <v>2918728.5196965542</v>
      </c>
      <c r="J159" s="91">
        <f t="shared" si="33"/>
        <v>3005342.9105163044</v>
      </c>
    </row>
    <row r="160" spans="1:10" x14ac:dyDescent="0.2">
      <c r="A160" s="104" t="s">
        <v>298</v>
      </c>
      <c r="B160" s="410"/>
      <c r="C160" s="410">
        <v>75</v>
      </c>
      <c r="D160" s="91">
        <f>(((B78+B69+B95+B63)*100)/50)*$C$160*D133</f>
        <v>489792.41999999993</v>
      </c>
      <c r="E160" s="91">
        <f t="shared" ref="E160:J160" si="34">(((C78+C69+C95+C63)*100)/50)*$C$160*E133</f>
        <v>771423.0615000003</v>
      </c>
      <c r="F160" s="91">
        <f t="shared" si="34"/>
        <v>1079992.2860999999</v>
      </c>
      <c r="G160" s="91">
        <f t="shared" si="34"/>
        <v>1417489.8755062502</v>
      </c>
      <c r="H160" s="91">
        <f t="shared" si="34"/>
        <v>1786037.2431378753</v>
      </c>
      <c r="I160" s="91">
        <f t="shared" si="34"/>
        <v>2187895.6228438974</v>
      </c>
      <c r="J160" s="91">
        <f t="shared" si="34"/>
        <v>2625474.7474126765</v>
      </c>
    </row>
    <row r="161" spans="1:10" x14ac:dyDescent="0.2">
      <c r="A161" s="90" t="s">
        <v>299</v>
      </c>
      <c r="B161" s="387"/>
      <c r="C161" s="387">
        <v>95</v>
      </c>
      <c r="D161" s="91">
        <f>(((B78+B69+B95+B63)*100)/50)*$C$161*D133</f>
        <v>620403.73199999996</v>
      </c>
      <c r="E161" s="91">
        <f t="shared" ref="E161:J161" si="35">(((C78+C69+C95+C63)*100)/50)*$C$161*E133</f>
        <v>977135.87790000031</v>
      </c>
      <c r="F161" s="91">
        <f t="shared" si="35"/>
        <v>1367990.22906</v>
      </c>
      <c r="G161" s="91">
        <f t="shared" si="35"/>
        <v>1795487.1756412503</v>
      </c>
      <c r="H161" s="91">
        <f t="shared" si="35"/>
        <v>2262313.8413079758</v>
      </c>
      <c r="I161" s="91">
        <f t="shared" si="35"/>
        <v>2771334.4556022701</v>
      </c>
      <c r="J161" s="91">
        <f t="shared" si="35"/>
        <v>3325601.3467227239</v>
      </c>
    </row>
    <row r="162" spans="1:10" x14ac:dyDescent="0.2">
      <c r="A162" s="9"/>
      <c r="B162" s="393"/>
      <c r="C162" s="393"/>
      <c r="D162" s="9"/>
      <c r="E162" s="9"/>
      <c r="F162" s="9"/>
      <c r="G162" s="9"/>
      <c r="H162" s="9"/>
      <c r="I162" s="9"/>
      <c r="J162" s="9"/>
    </row>
    <row r="163" spans="1:10" x14ac:dyDescent="0.2">
      <c r="A163" s="9"/>
      <c r="B163" s="393"/>
      <c r="C163" s="393"/>
      <c r="D163" s="9"/>
      <c r="E163" s="9"/>
      <c r="F163" s="9"/>
      <c r="G163" s="9"/>
      <c r="H163" s="9"/>
      <c r="I163" s="9"/>
      <c r="J163" s="9"/>
    </row>
    <row r="164" spans="1:10" x14ac:dyDescent="0.2">
      <c r="A164" s="9"/>
      <c r="B164" s="393"/>
      <c r="C164" s="393"/>
      <c r="D164" s="9"/>
      <c r="E164" s="9"/>
      <c r="F164" s="9"/>
      <c r="G164" s="9"/>
      <c r="H164" s="9"/>
      <c r="I164" s="9"/>
      <c r="J164" s="9"/>
    </row>
    <row r="165" spans="1:10" x14ac:dyDescent="0.2">
      <c r="A165" s="9"/>
      <c r="B165" s="393"/>
      <c r="C165" s="393"/>
      <c r="D165" s="9"/>
      <c r="E165" s="9"/>
      <c r="F165" s="9"/>
      <c r="G165" s="9"/>
      <c r="H165" s="9"/>
      <c r="I165" s="9"/>
      <c r="J165" s="9"/>
    </row>
    <row r="166" spans="1:10" x14ac:dyDescent="0.2">
      <c r="A166" s="189" t="s">
        <v>345</v>
      </c>
      <c r="B166" s="388"/>
      <c r="C166" s="388"/>
      <c r="D166" s="91"/>
      <c r="E166" s="91">
        <f>'5.Closing Stock &amp; W Capital'!F8</f>
        <v>1748837.0719501667</v>
      </c>
      <c r="F166" s="91">
        <f>'5.Closing Stock &amp; W Capital'!G8</f>
        <v>2754418.3883215133</v>
      </c>
      <c r="G166" s="91">
        <f>'5.Closing Stock &amp; W Capital'!H8</f>
        <v>3856185.7436501184</v>
      </c>
      <c r="H166" s="91">
        <f>'5.Closing Stock &amp; W Capital'!I8</f>
        <v>5061243.7885407815</v>
      </c>
      <c r="I166" s="91">
        <f>'5.Closing Stock &amp; W Capital'!J8</f>
        <v>6377167.173561384</v>
      </c>
      <c r="J166" s="91">
        <f>'5.Closing Stock &amp; W Capital'!K8</f>
        <v>7812029.7876126952</v>
      </c>
    </row>
    <row r="167" spans="1:10" x14ac:dyDescent="0.2">
      <c r="A167" s="189" t="s">
        <v>346</v>
      </c>
      <c r="B167" s="388"/>
      <c r="C167" s="388"/>
      <c r="D167" s="91">
        <f>'5.Closing Stock &amp; W Capital'!E17</f>
        <v>1748837.0719501667</v>
      </c>
      <c r="E167" s="91">
        <f>'5.Closing Stock &amp; W Capital'!F17</f>
        <v>2754418.3883215133</v>
      </c>
      <c r="F167" s="91">
        <f>'5.Closing Stock &amp; W Capital'!G17</f>
        <v>3856185.7436501184</v>
      </c>
      <c r="G167" s="91">
        <f>'5.Closing Stock &amp; W Capital'!H17</f>
        <v>5061243.7885407815</v>
      </c>
      <c r="H167" s="91">
        <f>'5.Closing Stock &amp; W Capital'!I17</f>
        <v>6377167.173561384</v>
      </c>
      <c r="I167" s="91">
        <f>'5.Closing Stock &amp; W Capital'!J17</f>
        <v>7812029.7876126952</v>
      </c>
      <c r="J167" s="91">
        <f>'5.Closing Stock &amp; W Capital'!K17</f>
        <v>9144510.7866670433</v>
      </c>
    </row>
    <row r="168" spans="1:10" x14ac:dyDescent="0.2">
      <c r="A168" s="91"/>
      <c r="B168" s="388"/>
      <c r="C168" s="388"/>
      <c r="D168" s="91"/>
      <c r="E168" s="91"/>
      <c r="F168" s="91"/>
      <c r="G168" s="91"/>
      <c r="H168" s="91"/>
      <c r="I168" s="91"/>
      <c r="J168" s="91"/>
    </row>
    <row r="169" spans="1:10" x14ac:dyDescent="0.2">
      <c r="A169" s="110" t="s">
        <v>325</v>
      </c>
      <c r="B169" s="388"/>
      <c r="C169" s="388"/>
      <c r="D169" s="110">
        <f>SUM(D152:D166)-D167</f>
        <v>33848308.099053167</v>
      </c>
      <c r="E169" s="110">
        <f>SUM(E152:E166)-E167</f>
        <v>55059922.327958919</v>
      </c>
      <c r="F169" s="110">
        <f t="shared" ref="F169:J169" si="36">SUM(F152:F166)-F167</f>
        <v>77389937.746733755</v>
      </c>
      <c r="G169" s="110">
        <f t="shared" si="36"/>
        <v>101815304.90156622</v>
      </c>
      <c r="H169" s="110">
        <f t="shared" si="36"/>
        <v>128489733.92751507</v>
      </c>
      <c r="I169" s="110">
        <f t="shared" si="36"/>
        <v>157577067.59380484</v>
      </c>
      <c r="J169" s="110">
        <f t="shared" si="36"/>
        <v>184883336.08100924</v>
      </c>
    </row>
    <row r="170" spans="1:10" x14ac:dyDescent="0.2">
      <c r="A170" s="89"/>
      <c r="B170" s="402"/>
      <c r="C170" s="402"/>
      <c r="D170" s="89"/>
      <c r="E170" s="89"/>
      <c r="F170" s="89"/>
      <c r="G170" s="89"/>
      <c r="H170" s="89"/>
      <c r="I170" s="89"/>
      <c r="J170" s="89"/>
    </row>
    <row r="171" spans="1:10" x14ac:dyDescent="0.2">
      <c r="A171" s="190" t="s">
        <v>312</v>
      </c>
      <c r="B171" s="411"/>
      <c r="C171" s="411"/>
      <c r="D171" s="110"/>
      <c r="E171" s="110"/>
      <c r="F171" s="110"/>
      <c r="G171" s="110"/>
      <c r="H171" s="110"/>
      <c r="I171" s="110"/>
      <c r="J171" s="110"/>
    </row>
    <row r="172" spans="1:10" x14ac:dyDescent="0.2">
      <c r="A172" s="90" t="s">
        <v>189</v>
      </c>
      <c r="B172" s="387">
        <v>2</v>
      </c>
      <c r="C172" s="388">
        <v>15000</v>
      </c>
      <c r="D172" s="91">
        <f t="shared" ref="D172:J172" si="37">$B$172*$C$172*12*D133</f>
        <v>360000</v>
      </c>
      <c r="E172" s="91">
        <f t="shared" si="37"/>
        <v>378000</v>
      </c>
      <c r="F172" s="91">
        <f t="shared" si="37"/>
        <v>396900</v>
      </c>
      <c r="G172" s="91">
        <f t="shared" si="37"/>
        <v>416745.00000000006</v>
      </c>
      <c r="H172" s="91">
        <f t="shared" si="37"/>
        <v>437582.25000000006</v>
      </c>
      <c r="I172" s="91">
        <f t="shared" si="37"/>
        <v>459461.3625000001</v>
      </c>
      <c r="J172" s="91">
        <f t="shared" si="37"/>
        <v>482434.43062500015</v>
      </c>
    </row>
    <row r="173" spans="1:10" x14ac:dyDescent="0.2">
      <c r="A173" s="90" t="s">
        <v>710</v>
      </c>
      <c r="B173" s="387">
        <v>1</v>
      </c>
      <c r="C173" s="388">
        <v>10000</v>
      </c>
      <c r="D173" s="91">
        <f>B173*C173*12</f>
        <v>120000</v>
      </c>
      <c r="E173" s="91">
        <v>126000</v>
      </c>
      <c r="F173" s="91">
        <v>132300</v>
      </c>
      <c r="G173" s="91">
        <v>138915</v>
      </c>
      <c r="H173" s="91">
        <v>165000</v>
      </c>
      <c r="I173" s="91">
        <v>178000</v>
      </c>
      <c r="J173" s="91">
        <v>180000</v>
      </c>
    </row>
    <row r="174" spans="1:10" x14ac:dyDescent="0.2">
      <c r="A174" s="90" t="s">
        <v>711</v>
      </c>
      <c r="B174" s="387">
        <v>1</v>
      </c>
      <c r="C174" s="388">
        <v>10000</v>
      </c>
      <c r="D174" s="91">
        <f>B174*C174</f>
        <v>10000</v>
      </c>
      <c r="E174" s="91">
        <v>126000</v>
      </c>
      <c r="F174" s="91">
        <v>132300</v>
      </c>
      <c r="G174" s="91">
        <v>138915</v>
      </c>
      <c r="H174" s="91">
        <v>165000</v>
      </c>
      <c r="I174" s="91">
        <v>178000</v>
      </c>
      <c r="J174" s="91">
        <v>180000</v>
      </c>
    </row>
    <row r="175" spans="1:10" x14ac:dyDescent="0.2">
      <c r="A175" s="90"/>
      <c r="B175" s="387"/>
      <c r="C175" s="388"/>
      <c r="D175" s="91"/>
      <c r="E175" s="91"/>
      <c r="F175" s="91"/>
      <c r="G175" s="91"/>
      <c r="H175" s="91"/>
      <c r="I175" s="91"/>
      <c r="J175" s="91"/>
    </row>
    <row r="176" spans="1:10" x14ac:dyDescent="0.2">
      <c r="A176" s="90"/>
      <c r="B176" s="387"/>
      <c r="C176" s="388"/>
      <c r="D176" s="91"/>
      <c r="E176" s="91"/>
      <c r="F176" s="91"/>
      <c r="G176" s="91"/>
      <c r="H176" s="91"/>
      <c r="I176" s="91"/>
      <c r="J176" s="91"/>
    </row>
    <row r="177" spans="1:10" x14ac:dyDescent="0.2">
      <c r="A177" s="92" t="s">
        <v>312</v>
      </c>
      <c r="B177" s="92"/>
      <c r="C177" s="92"/>
      <c r="D177" s="110">
        <f t="shared" ref="D177:J177" si="38">SUM(D172:D176)</f>
        <v>490000</v>
      </c>
      <c r="E177" s="110">
        <f t="shared" si="38"/>
        <v>630000</v>
      </c>
      <c r="F177" s="110">
        <f t="shared" si="38"/>
        <v>661500</v>
      </c>
      <c r="G177" s="110">
        <f t="shared" si="38"/>
        <v>694575</v>
      </c>
      <c r="H177" s="110">
        <f t="shared" si="38"/>
        <v>767582.25</v>
      </c>
      <c r="I177" s="110">
        <f t="shared" si="38"/>
        <v>815461.36250000005</v>
      </c>
      <c r="J177" s="110">
        <f t="shared" si="38"/>
        <v>842434.43062500015</v>
      </c>
    </row>
    <row r="178" spans="1:10" x14ac:dyDescent="0.2">
      <c r="A178" s="190" t="s">
        <v>300</v>
      </c>
      <c r="B178" s="190"/>
      <c r="C178" s="190"/>
      <c r="D178" s="110">
        <f t="shared" ref="D178:J178" si="39">D169+D177</f>
        <v>34338308.099053167</v>
      </c>
      <c r="E178" s="110">
        <f t="shared" si="39"/>
        <v>55689922.327958919</v>
      </c>
      <c r="F178" s="110">
        <f t="shared" si="39"/>
        <v>78051437.746733755</v>
      </c>
      <c r="G178" s="110">
        <f t="shared" si="39"/>
        <v>102509879.90156622</v>
      </c>
      <c r="H178" s="110">
        <f t="shared" si="39"/>
        <v>129257316.17751507</v>
      </c>
      <c r="I178" s="110">
        <f t="shared" si="39"/>
        <v>158392528.95630485</v>
      </c>
      <c r="J178" s="110">
        <f t="shared" si="39"/>
        <v>185725770.51163423</v>
      </c>
    </row>
    <row r="179" spans="1:10" x14ac:dyDescent="0.2">
      <c r="A179" s="90"/>
      <c r="B179" s="90"/>
      <c r="C179" s="90"/>
      <c r="D179" s="91"/>
      <c r="E179" s="91"/>
      <c r="F179" s="91"/>
      <c r="G179" s="91"/>
      <c r="H179" s="91"/>
      <c r="I179" s="91"/>
      <c r="J179" s="91"/>
    </row>
    <row r="180" spans="1:10" x14ac:dyDescent="0.2">
      <c r="A180" s="92" t="s">
        <v>7</v>
      </c>
      <c r="B180" s="92"/>
      <c r="C180" s="92"/>
      <c r="D180" s="110">
        <f t="shared" ref="D180:J180" si="40">D148-D178</f>
        <v>1312186.1909468397</v>
      </c>
      <c r="E180" s="110">
        <f t="shared" si="40"/>
        <v>2069794.734291099</v>
      </c>
      <c r="F180" s="110">
        <f t="shared" si="40"/>
        <v>3093949.137628749</v>
      </c>
      <c r="G180" s="110">
        <f t="shared" si="40"/>
        <v>4215344.4944644123</v>
      </c>
      <c r="H180" s="110">
        <f t="shared" si="40"/>
        <v>5402866.0141396075</v>
      </c>
      <c r="I180" s="110">
        <f t="shared" si="40"/>
        <v>6729293.7495462298</v>
      </c>
      <c r="J180" s="110">
        <f t="shared" si="40"/>
        <v>10495825.833022207</v>
      </c>
    </row>
    <row r="181" spans="1:10" x14ac:dyDescent="0.2">
      <c r="A181" s="111"/>
      <c r="B181" s="111"/>
      <c r="C181" s="111"/>
      <c r="D181" s="89"/>
      <c r="E181" s="89"/>
      <c r="F181" s="89"/>
      <c r="G181" s="89"/>
      <c r="H181" s="89"/>
      <c r="I181" s="89"/>
      <c r="J181" s="89"/>
    </row>
    <row r="182" spans="1:10" x14ac:dyDescent="0.2">
      <c r="A182" s="89"/>
      <c r="B182" s="89"/>
      <c r="C182" s="89"/>
      <c r="D182" s="89"/>
      <c r="E182" s="89"/>
      <c r="F182" s="89"/>
      <c r="G182" s="89"/>
      <c r="H182" s="89"/>
      <c r="I182" s="89"/>
      <c r="J182" s="89"/>
    </row>
    <row r="183" spans="1:10" x14ac:dyDescent="0.2">
      <c r="A183" s="89"/>
      <c r="B183" s="89"/>
      <c r="C183" s="89"/>
      <c r="D183" s="89"/>
      <c r="E183" s="89"/>
      <c r="F183" s="89"/>
      <c r="G183" s="89"/>
      <c r="H183" s="89"/>
      <c r="I183" s="89"/>
      <c r="J183" s="89"/>
    </row>
    <row r="184" spans="1:10" x14ac:dyDescent="0.2">
      <c r="A184" s="452" t="s">
        <v>425</v>
      </c>
      <c r="B184" s="452"/>
      <c r="C184" s="452"/>
      <c r="D184" s="452"/>
      <c r="E184" s="452"/>
      <c r="F184" s="452"/>
      <c r="G184" s="452"/>
      <c r="H184" s="452"/>
      <c r="I184" s="452"/>
      <c r="J184" s="452"/>
    </row>
    <row r="186" spans="1:10" x14ac:dyDescent="0.2">
      <c r="A186" t="s">
        <v>538</v>
      </c>
    </row>
    <row r="187" spans="1:10" x14ac:dyDescent="0.2">
      <c r="A187">
        <v>1</v>
      </c>
      <c r="B187" t="s">
        <v>547</v>
      </c>
    </row>
    <row r="188" spans="1:10" x14ac:dyDescent="0.2">
      <c r="A188">
        <v>2</v>
      </c>
      <c r="B188" t="s">
        <v>548</v>
      </c>
    </row>
    <row r="189" spans="1:10" x14ac:dyDescent="0.2">
      <c r="A189">
        <v>3</v>
      </c>
      <c r="B189" s="89" t="s">
        <v>599</v>
      </c>
    </row>
  </sheetData>
  <mergeCells count="4">
    <mergeCell ref="A131:J131"/>
    <mergeCell ref="A3:H3"/>
    <mergeCell ref="A184:J184"/>
    <mergeCell ref="A4:H4"/>
  </mergeCells>
  <pageMargins left="0.7" right="0.7" top="0.75" bottom="0.75" header="0.3" footer="0.3"/>
  <pageSetup paperSize="9" scale="46" orientation="portrait" r:id="rId1"/>
  <rowBreaks count="2" manualBreakCount="2">
    <brk id="67" max="9" man="1"/>
    <brk id="129" max="9"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2:J57"/>
  <sheetViews>
    <sheetView view="pageBreakPreview" topLeftCell="A16" zoomScale="80" zoomScaleNormal="85" zoomScaleSheetLayoutView="80" workbookViewId="0">
      <selection activeCell="I29" sqref="I29"/>
    </sheetView>
  </sheetViews>
  <sheetFormatPr defaultRowHeight="15" x14ac:dyDescent="0.2"/>
  <cols>
    <col min="1" max="1" width="30.40234375" bestFit="1" customWidth="1"/>
    <col min="2" max="2" width="21.25390625" customWidth="1"/>
    <col min="3" max="3" width="11.1640625" customWidth="1"/>
    <col min="4" max="4" width="13.85546875" customWidth="1"/>
    <col min="5" max="5" width="12.9140625" customWidth="1"/>
    <col min="6" max="6" width="12.23828125" customWidth="1"/>
    <col min="7" max="7" width="11.703125" customWidth="1"/>
    <col min="8" max="8" width="11.43359375" customWidth="1"/>
    <col min="9" max="9" width="12.64453125" customWidth="1"/>
    <col min="10" max="10" width="11.56640625" customWidth="1"/>
  </cols>
  <sheetData>
    <row r="2" spans="1:10" ht="18" x14ac:dyDescent="0.2">
      <c r="A2" s="521" t="s">
        <v>586</v>
      </c>
      <c r="B2" s="521"/>
      <c r="C2" s="521"/>
      <c r="D2" s="521"/>
      <c r="E2" s="521"/>
      <c r="F2" s="521"/>
      <c r="G2" s="521"/>
      <c r="H2" s="521"/>
    </row>
    <row r="3" spans="1:10" ht="18" x14ac:dyDescent="0.2">
      <c r="A3" s="521" t="s">
        <v>587</v>
      </c>
      <c r="B3" s="521"/>
      <c r="C3" s="521"/>
      <c r="D3" s="521"/>
      <c r="E3" s="521"/>
      <c r="F3" s="521"/>
      <c r="G3" s="521"/>
      <c r="H3" s="521"/>
    </row>
    <row r="4" spans="1:10" x14ac:dyDescent="0.2">
      <c r="A4" s="181" t="s">
        <v>162</v>
      </c>
      <c r="B4" s="412">
        <v>880</v>
      </c>
      <c r="C4" s="179" t="s">
        <v>301</v>
      </c>
      <c r="D4" s="179"/>
      <c r="E4" s="179"/>
      <c r="F4" s="179"/>
      <c r="G4" s="180"/>
      <c r="H4" s="89"/>
    </row>
    <row r="5" spans="1:10" x14ac:dyDescent="0.2">
      <c r="A5" s="181" t="s">
        <v>712</v>
      </c>
      <c r="B5" s="412">
        <v>660</v>
      </c>
      <c r="C5" s="179" t="s">
        <v>301</v>
      </c>
      <c r="D5" s="179"/>
      <c r="E5" s="179"/>
      <c r="F5" s="179"/>
      <c r="G5" s="180"/>
      <c r="H5" s="89"/>
    </row>
    <row r="6" spans="1:10" x14ac:dyDescent="0.2">
      <c r="A6" s="181" t="s">
        <v>713</v>
      </c>
      <c r="B6" s="182">
        <v>660</v>
      </c>
      <c r="C6" s="179" t="s">
        <v>301</v>
      </c>
      <c r="D6" s="180"/>
      <c r="E6" s="180"/>
      <c r="F6" s="180"/>
      <c r="G6" s="180"/>
      <c r="H6" s="89"/>
    </row>
    <row r="7" spans="1:10" x14ac:dyDescent="0.2">
      <c r="A7" s="181" t="s">
        <v>303</v>
      </c>
      <c r="B7" s="183">
        <v>12</v>
      </c>
      <c r="C7" s="180"/>
      <c r="D7" s="183"/>
      <c r="E7" s="183"/>
      <c r="F7" s="180"/>
      <c r="G7" s="180"/>
      <c r="H7" s="89"/>
    </row>
    <row r="8" spans="1:10" x14ac:dyDescent="0.2">
      <c r="A8" s="181"/>
      <c r="B8" s="89"/>
      <c r="C8" s="183"/>
      <c r="D8" s="183"/>
      <c r="E8" s="183"/>
      <c r="F8" s="180"/>
      <c r="G8" s="180"/>
      <c r="H8" s="89"/>
    </row>
    <row r="9" spans="1:10" x14ac:dyDescent="0.2">
      <c r="A9" s="143" t="s">
        <v>127</v>
      </c>
      <c r="B9" s="115" t="s">
        <v>2</v>
      </c>
      <c r="C9" s="115" t="s">
        <v>3</v>
      </c>
      <c r="D9" s="115" t="s">
        <v>4</v>
      </c>
      <c r="E9" s="115" t="s">
        <v>5</v>
      </c>
      <c r="F9" s="115" t="s">
        <v>6</v>
      </c>
      <c r="G9" s="115" t="s">
        <v>170</v>
      </c>
      <c r="H9" s="115" t="s">
        <v>169</v>
      </c>
    </row>
    <row r="10" spans="1:10" x14ac:dyDescent="0.2">
      <c r="A10" s="90" t="s">
        <v>304</v>
      </c>
      <c r="B10" s="389">
        <v>0.7</v>
      </c>
      <c r="C10" s="389">
        <f>B10+5%</f>
        <v>0.75</v>
      </c>
      <c r="D10" s="389">
        <f>C10+5%</f>
        <v>0.8</v>
      </c>
      <c r="E10" s="389">
        <f>D10+5%</f>
        <v>0.85000000000000009</v>
      </c>
      <c r="F10" s="389">
        <f>E10+5%</f>
        <v>0.90000000000000013</v>
      </c>
      <c r="G10" s="389">
        <f>F10</f>
        <v>0.90000000000000013</v>
      </c>
      <c r="H10" s="389">
        <f>G10</f>
        <v>0.90000000000000013</v>
      </c>
    </row>
    <row r="11" spans="1:10" x14ac:dyDescent="0.2">
      <c r="A11" s="92" t="s">
        <v>326</v>
      </c>
      <c r="B11" s="185">
        <f t="shared" ref="B11:H11" si="0">$B$6*B10*$B$7</f>
        <v>5543.9999999999991</v>
      </c>
      <c r="C11" s="185">
        <f t="shared" si="0"/>
        <v>5940</v>
      </c>
      <c r="D11" s="185">
        <f t="shared" si="0"/>
        <v>6336</v>
      </c>
      <c r="E11" s="185">
        <f t="shared" si="0"/>
        <v>6732.0000000000018</v>
      </c>
      <c r="F11" s="185">
        <f t="shared" si="0"/>
        <v>7128.0000000000018</v>
      </c>
      <c r="G11" s="185">
        <f t="shared" si="0"/>
        <v>7128.0000000000018</v>
      </c>
      <c r="H11" s="185">
        <f t="shared" si="0"/>
        <v>7128.0000000000018</v>
      </c>
    </row>
    <row r="16" spans="1:10" ht="18" x14ac:dyDescent="0.2">
      <c r="A16" s="451" t="s">
        <v>588</v>
      </c>
      <c r="B16" s="451"/>
      <c r="C16" s="451"/>
      <c r="D16" s="451"/>
      <c r="E16" s="451"/>
      <c r="F16" s="451"/>
      <c r="G16" s="451"/>
      <c r="H16" s="451"/>
      <c r="I16" s="451"/>
      <c r="J16" s="451"/>
    </row>
    <row r="17" spans="1:10" x14ac:dyDescent="0.2">
      <c r="A17" s="13"/>
      <c r="B17" s="57"/>
      <c r="C17" s="28"/>
      <c r="D17" s="13"/>
      <c r="E17" s="13"/>
      <c r="F17" s="13"/>
      <c r="G17" s="13"/>
      <c r="H17" s="13"/>
    </row>
    <row r="18" spans="1:10" x14ac:dyDescent="0.2">
      <c r="A18" s="89"/>
      <c r="B18" s="89"/>
      <c r="C18" s="89"/>
      <c r="D18" s="173">
        <v>1</v>
      </c>
      <c r="E18" s="178">
        <f>(D18*5%)+D18</f>
        <v>1.05</v>
      </c>
      <c r="F18" s="178">
        <f t="shared" ref="F18:J18" si="1">(E18*5%)+E18</f>
        <v>1.1025</v>
      </c>
      <c r="G18" s="178">
        <f t="shared" si="1"/>
        <v>1.1576250000000001</v>
      </c>
      <c r="H18" s="178">
        <f t="shared" si="1"/>
        <v>1.2155062500000002</v>
      </c>
      <c r="I18" s="178">
        <f t="shared" si="1"/>
        <v>1.2762815625000004</v>
      </c>
      <c r="J18" s="178">
        <f t="shared" si="1"/>
        <v>1.3400956406250004</v>
      </c>
    </row>
    <row r="19" spans="1:10" x14ac:dyDescent="0.2">
      <c r="A19" s="143" t="s">
        <v>0</v>
      </c>
      <c r="B19" s="143" t="s">
        <v>132</v>
      </c>
      <c r="C19" s="143" t="s">
        <v>153</v>
      </c>
      <c r="D19" s="115" t="s">
        <v>2</v>
      </c>
      <c r="E19" s="115" t="s">
        <v>3</v>
      </c>
      <c r="F19" s="115" t="s">
        <v>4</v>
      </c>
      <c r="G19" s="115" t="s">
        <v>5</v>
      </c>
      <c r="H19" s="115" t="s">
        <v>6</v>
      </c>
      <c r="I19" s="115" t="s">
        <v>170</v>
      </c>
      <c r="J19" s="115" t="s">
        <v>169</v>
      </c>
    </row>
    <row r="20" spans="1:10" x14ac:dyDescent="0.2">
      <c r="A20" s="90"/>
      <c r="B20" s="90"/>
      <c r="C20" s="90"/>
      <c r="D20" s="90"/>
      <c r="E20" s="90"/>
      <c r="F20" s="90"/>
      <c r="G20" s="90"/>
      <c r="H20" s="90"/>
      <c r="I20" s="90"/>
      <c r="J20" s="90"/>
    </row>
    <row r="21" spans="1:10" x14ac:dyDescent="0.2">
      <c r="A21" s="92" t="s">
        <v>178</v>
      </c>
      <c r="B21" s="92"/>
      <c r="C21" s="92"/>
      <c r="D21" s="90"/>
      <c r="E21" s="90"/>
      <c r="F21" s="90"/>
      <c r="G21" s="90"/>
      <c r="H21" s="90"/>
      <c r="I21" s="90"/>
      <c r="J21" s="90"/>
    </row>
    <row r="22" spans="1:10" x14ac:dyDescent="0.2">
      <c r="A22" s="90" t="s">
        <v>328</v>
      </c>
      <c r="B22" s="90"/>
      <c r="C22" s="388">
        <v>175</v>
      </c>
      <c r="D22" s="91">
        <f>B11*$C$22*D18</f>
        <v>970199.99999999988</v>
      </c>
      <c r="E22" s="91">
        <f t="shared" ref="E22:J22" si="2">C11*$C$22*E18</f>
        <v>1091475</v>
      </c>
      <c r="F22" s="91">
        <f t="shared" si="2"/>
        <v>1222452</v>
      </c>
      <c r="G22" s="91">
        <f t="shared" si="2"/>
        <v>1363798.0125000004</v>
      </c>
      <c r="H22" s="91">
        <f>'11.F&amp;V Crop Production details'!H83</f>
        <v>0</v>
      </c>
      <c r="I22" s="91">
        <f t="shared" si="2"/>
        <v>1592033.6210625006</v>
      </c>
      <c r="J22" s="91">
        <f t="shared" si="2"/>
        <v>1671635.3021156259</v>
      </c>
    </row>
    <row r="23" spans="1:10" x14ac:dyDescent="0.2">
      <c r="A23" s="90"/>
      <c r="B23" s="90"/>
      <c r="C23" s="91"/>
      <c r="D23" s="91"/>
      <c r="E23" s="91"/>
      <c r="F23" s="91"/>
      <c r="G23" s="91"/>
      <c r="H23" s="91"/>
      <c r="I23" s="91"/>
      <c r="J23" s="91"/>
    </row>
    <row r="24" spans="1:10" x14ac:dyDescent="0.2">
      <c r="A24" s="92" t="s">
        <v>143</v>
      </c>
      <c r="B24" s="92"/>
      <c r="C24" s="110"/>
      <c r="D24" s="91">
        <f t="shared" ref="D24:J24" si="3">SUM(D22:D22)</f>
        <v>970199.99999999988</v>
      </c>
      <c r="E24" s="91">
        <f t="shared" si="3"/>
        <v>1091475</v>
      </c>
      <c r="F24" s="91">
        <f t="shared" si="3"/>
        <v>1222452</v>
      </c>
      <c r="G24" s="91">
        <f t="shared" si="3"/>
        <v>1363798.0125000004</v>
      </c>
      <c r="H24" s="91">
        <f t="shared" si="3"/>
        <v>0</v>
      </c>
      <c r="I24" s="91">
        <f t="shared" si="3"/>
        <v>1592033.6210625006</v>
      </c>
      <c r="J24" s="91">
        <f t="shared" si="3"/>
        <v>1671635.3021156259</v>
      </c>
    </row>
    <row r="25" spans="1:10" x14ac:dyDescent="0.2">
      <c r="A25" s="90"/>
      <c r="B25" s="90"/>
      <c r="C25" s="91"/>
      <c r="D25" s="91"/>
      <c r="E25" s="91"/>
      <c r="F25" s="91"/>
      <c r="G25" s="91"/>
      <c r="H25" s="91"/>
      <c r="I25" s="91"/>
      <c r="J25" s="91"/>
    </row>
    <row r="26" spans="1:10" x14ac:dyDescent="0.2">
      <c r="A26" s="92" t="s">
        <v>142</v>
      </c>
      <c r="B26" s="92"/>
      <c r="C26" s="91"/>
      <c r="D26" s="91"/>
      <c r="E26" s="91"/>
      <c r="F26" s="91"/>
      <c r="G26" s="91"/>
      <c r="H26" s="91"/>
      <c r="I26" s="91"/>
      <c r="J26" s="91"/>
    </row>
    <row r="27" spans="1:10" x14ac:dyDescent="0.2">
      <c r="A27" s="92" t="s">
        <v>314</v>
      </c>
      <c r="B27" s="92"/>
      <c r="C27" s="91"/>
      <c r="D27" s="91"/>
      <c r="E27" s="91"/>
      <c r="F27" s="91"/>
      <c r="G27" s="91"/>
      <c r="H27" s="91"/>
      <c r="I27" s="91"/>
      <c r="J27" s="91"/>
    </row>
    <row r="28" spans="1:10" x14ac:dyDescent="0.2">
      <c r="A28" s="90" t="s">
        <v>305</v>
      </c>
      <c r="B28" s="387" t="s">
        <v>301</v>
      </c>
      <c r="C28" s="388">
        <v>10</v>
      </c>
      <c r="D28" s="91">
        <f>$B$11*$C$28*D18</f>
        <v>55439.999999999993</v>
      </c>
      <c r="E28" s="91">
        <f t="shared" ref="E28:J28" si="4">$B$11*$C$28*E18</f>
        <v>58211.999999999993</v>
      </c>
      <c r="F28" s="91">
        <f t="shared" si="4"/>
        <v>61122.599999999991</v>
      </c>
      <c r="G28" s="91">
        <f t="shared" si="4"/>
        <v>64178.729999999996</v>
      </c>
      <c r="H28" s="91">
        <f t="shared" si="4"/>
        <v>67387.666500000007</v>
      </c>
      <c r="I28" s="91">
        <f t="shared" si="4"/>
        <v>70757.049825000009</v>
      </c>
      <c r="J28" s="91">
        <f t="shared" si="4"/>
        <v>74294.902316250009</v>
      </c>
    </row>
    <row r="29" spans="1:10" x14ac:dyDescent="0.2">
      <c r="A29" s="90" t="s">
        <v>306</v>
      </c>
      <c r="B29" s="387" t="s">
        <v>301</v>
      </c>
      <c r="C29" s="388">
        <v>8</v>
      </c>
      <c r="D29" s="91">
        <f>$B$11*$C$29*D18</f>
        <v>44351.999999999993</v>
      </c>
      <c r="E29" s="91">
        <f t="shared" ref="E29:J29" si="5">$B$11*$C$29*E18</f>
        <v>46569.599999999991</v>
      </c>
      <c r="F29" s="91">
        <f t="shared" si="5"/>
        <v>48898.079999999994</v>
      </c>
      <c r="G29" s="91">
        <f t="shared" si="5"/>
        <v>51342.983999999997</v>
      </c>
      <c r="H29" s="91">
        <f t="shared" si="5"/>
        <v>53910.133200000004</v>
      </c>
      <c r="I29" s="91">
        <f t="shared" si="5"/>
        <v>56605.639860000003</v>
      </c>
      <c r="J29" s="91">
        <f t="shared" si="5"/>
        <v>59435.921853000007</v>
      </c>
    </row>
    <row r="30" spans="1:10" x14ac:dyDescent="0.2">
      <c r="A30" s="90" t="s">
        <v>307</v>
      </c>
      <c r="B30" s="387"/>
      <c r="C30" s="388">
        <v>4000</v>
      </c>
      <c r="D30" s="91">
        <f>$C$30*12*D18</f>
        <v>48000</v>
      </c>
      <c r="E30" s="91">
        <f t="shared" ref="E30:J30" si="6">$C$30*12*E18</f>
        <v>50400</v>
      </c>
      <c r="F30" s="91">
        <f t="shared" si="6"/>
        <v>52920</v>
      </c>
      <c r="G30" s="91">
        <f t="shared" si="6"/>
        <v>55566.000000000007</v>
      </c>
      <c r="H30" s="91">
        <f t="shared" si="6"/>
        <v>58344.30000000001</v>
      </c>
      <c r="I30" s="91">
        <f t="shared" si="6"/>
        <v>61261.515000000014</v>
      </c>
      <c r="J30" s="91">
        <f t="shared" si="6"/>
        <v>64324.590750000018</v>
      </c>
    </row>
    <row r="31" spans="1:10" x14ac:dyDescent="0.2">
      <c r="A31" s="90"/>
      <c r="B31" s="387"/>
      <c r="C31" s="388"/>
      <c r="D31" s="91"/>
      <c r="E31" s="91"/>
      <c r="F31" s="91"/>
      <c r="G31" s="91"/>
      <c r="H31" s="91"/>
      <c r="I31" s="91"/>
      <c r="J31" s="91"/>
    </row>
    <row r="32" spans="1:10" x14ac:dyDescent="0.2">
      <c r="A32" s="90"/>
      <c r="B32" s="387"/>
      <c r="C32" s="388"/>
      <c r="D32" s="91"/>
      <c r="E32" s="91"/>
      <c r="F32" s="91"/>
      <c r="G32" s="91"/>
      <c r="H32" s="91"/>
      <c r="I32" s="91"/>
      <c r="J32" s="91"/>
    </row>
    <row r="33" spans="1:10" x14ac:dyDescent="0.2">
      <c r="A33" s="90"/>
      <c r="B33" s="387"/>
      <c r="C33" s="388"/>
      <c r="D33" s="91"/>
      <c r="E33" s="91"/>
      <c r="F33" s="91"/>
      <c r="G33" s="91"/>
      <c r="H33" s="91"/>
      <c r="I33" s="91"/>
      <c r="J33" s="91"/>
    </row>
    <row r="34" spans="1:10" x14ac:dyDescent="0.2">
      <c r="A34" s="90"/>
      <c r="B34" s="387"/>
      <c r="C34" s="388"/>
      <c r="D34" s="91"/>
      <c r="E34" s="91"/>
      <c r="F34" s="91"/>
      <c r="G34" s="91"/>
      <c r="H34" s="91"/>
      <c r="I34" s="91"/>
      <c r="J34" s="91"/>
    </row>
    <row r="35" spans="1:10" x14ac:dyDescent="0.2">
      <c r="A35" s="92" t="s">
        <v>325</v>
      </c>
      <c r="B35" s="403"/>
      <c r="C35" s="406"/>
      <c r="D35" s="110">
        <f>SUM(D28:D34)</f>
        <v>147792</v>
      </c>
      <c r="E35" s="110">
        <f t="shared" ref="E35:J35" si="7">SUM(E28:E34)</f>
        <v>155181.59999999998</v>
      </c>
      <c r="F35" s="110">
        <f t="shared" si="7"/>
        <v>162940.68</v>
      </c>
      <c r="G35" s="110">
        <f t="shared" si="7"/>
        <v>171087.71400000001</v>
      </c>
      <c r="H35" s="110">
        <f t="shared" si="7"/>
        <v>179642.09970000002</v>
      </c>
      <c r="I35" s="110">
        <f t="shared" si="7"/>
        <v>188624.20468500003</v>
      </c>
      <c r="J35" s="110">
        <f t="shared" si="7"/>
        <v>198055.41491925006</v>
      </c>
    </row>
    <row r="36" spans="1:10" x14ac:dyDescent="0.2">
      <c r="A36" s="92"/>
      <c r="B36" s="403"/>
      <c r="C36" s="406"/>
      <c r="D36" s="110"/>
      <c r="E36" s="110"/>
      <c r="F36" s="110"/>
      <c r="G36" s="110"/>
      <c r="H36" s="110"/>
      <c r="I36" s="110"/>
      <c r="J36" s="110"/>
    </row>
    <row r="37" spans="1:10" x14ac:dyDescent="0.2">
      <c r="A37" s="92" t="s">
        <v>312</v>
      </c>
      <c r="B37" s="387"/>
      <c r="C37" s="388"/>
      <c r="D37" s="91"/>
      <c r="E37" s="91"/>
      <c r="F37" s="91"/>
      <c r="G37" s="91"/>
      <c r="H37" s="91"/>
      <c r="I37" s="91"/>
      <c r="J37" s="91"/>
    </row>
    <row r="38" spans="1:10" x14ac:dyDescent="0.2">
      <c r="A38" s="90" t="s">
        <v>327</v>
      </c>
      <c r="B38" s="387">
        <v>1</v>
      </c>
      <c r="C38" s="388">
        <v>15000</v>
      </c>
      <c r="D38" s="91">
        <f>$B$38*$C$38*D18*12</f>
        <v>180000</v>
      </c>
      <c r="E38" s="91">
        <f>$B$38*$C$38*E18*12</f>
        <v>189000</v>
      </c>
      <c r="F38" s="91">
        <f t="shared" ref="F38:J38" si="8">$B$38*$C$38*F18*12</f>
        <v>198450</v>
      </c>
      <c r="G38" s="91">
        <f t="shared" si="8"/>
        <v>208372.50000000006</v>
      </c>
      <c r="H38" s="91">
        <f t="shared" si="8"/>
        <v>218791.12500000006</v>
      </c>
      <c r="I38" s="91">
        <f t="shared" si="8"/>
        <v>229730.68125000005</v>
      </c>
      <c r="J38" s="91">
        <f t="shared" si="8"/>
        <v>241217.21531250008</v>
      </c>
    </row>
    <row r="39" spans="1:10" x14ac:dyDescent="0.2">
      <c r="A39" s="90" t="s">
        <v>693</v>
      </c>
      <c r="B39" s="387">
        <v>2</v>
      </c>
      <c r="C39" s="388">
        <v>8000</v>
      </c>
      <c r="D39" s="91">
        <f>$B$39*$C$39*$D$18*12</f>
        <v>192000</v>
      </c>
      <c r="E39" s="91">
        <f>$B$39*$C$39*$E$18*12</f>
        <v>201600</v>
      </c>
      <c r="F39" s="91">
        <f>$B$39*$C$39*$F$18*12</f>
        <v>211680</v>
      </c>
      <c r="G39" s="91">
        <f>$B$39*$C$39*$G$18*12</f>
        <v>222264.00000000006</v>
      </c>
      <c r="H39" s="91">
        <f>$B$39*$C$39*$H$18*12</f>
        <v>233377.2</v>
      </c>
      <c r="I39" s="91">
        <f>$B$39*$C$39*$I$18*12</f>
        <v>245046.06000000006</v>
      </c>
      <c r="J39" s="91">
        <f>$B$39*$C$39*$J$18*12</f>
        <v>257298.36300000007</v>
      </c>
    </row>
    <row r="40" spans="1:10" x14ac:dyDescent="0.2">
      <c r="A40" s="90" t="s">
        <v>716</v>
      </c>
      <c r="B40" s="387"/>
      <c r="C40" s="388"/>
      <c r="D40" s="91">
        <f>'2.Capex Details'!G12*0.005</f>
        <v>91955.005300000019</v>
      </c>
      <c r="E40" s="91">
        <f>D40</f>
        <v>91955.005300000019</v>
      </c>
      <c r="F40" s="91">
        <f t="shared" ref="F40:J40" si="9">E40</f>
        <v>91955.005300000019</v>
      </c>
      <c r="G40" s="91">
        <f t="shared" si="9"/>
        <v>91955.005300000019</v>
      </c>
      <c r="H40" s="91">
        <f t="shared" si="9"/>
        <v>91955.005300000019</v>
      </c>
      <c r="I40" s="91">
        <f t="shared" si="9"/>
        <v>91955.005300000019</v>
      </c>
      <c r="J40" s="91">
        <f t="shared" si="9"/>
        <v>91955.005300000019</v>
      </c>
    </row>
    <row r="41" spans="1:10" x14ac:dyDescent="0.2">
      <c r="A41" s="90" t="s">
        <v>717</v>
      </c>
      <c r="B41" s="387"/>
      <c r="C41" s="388"/>
      <c r="D41" s="91">
        <f>(B11*'12.Facility 1 - Trading'!$C$178*'12.Facility 1 - Trading'!D172)*0.001</f>
        <v>37144.799999999996</v>
      </c>
      <c r="E41" s="91">
        <f>(C11*'12.Facility 1 - Trading'!$C$178*'12.Facility 1 - Trading'!E172)*0.001</f>
        <v>41787.9</v>
      </c>
      <c r="F41" s="91">
        <f>(D11*'12.Facility 1 - Trading'!$C$178*'12.Facility 1 - Trading'!F172)*0.001</f>
        <v>46802.448000000004</v>
      </c>
      <c r="G41" s="91">
        <f>(E11*'12.Facility 1 - Trading'!$C$178*'12.Facility 1 - Trading'!G172)*0.001</f>
        <v>52213.981050000024</v>
      </c>
      <c r="H41" s="91">
        <f>(F11*'12.Facility 1 - Trading'!$C$178*'12.Facility 1 - Trading'!H172)*0.001</f>
        <v>58049.661285000031</v>
      </c>
      <c r="I41" s="91">
        <f>(G11*'12.Facility 1 - Trading'!$C$178*'12.Facility 1 - Trading'!I172)*0.001</f>
        <v>60952.144349250033</v>
      </c>
      <c r="J41" s="91">
        <f>(H11*'12.Facility 1 - Trading'!$C$178*'12.Facility 1 - Trading'!J172)*0.001</f>
        <v>63999.751566712548</v>
      </c>
    </row>
    <row r="42" spans="1:10" x14ac:dyDescent="0.2">
      <c r="A42" s="90"/>
      <c r="B42" s="387"/>
      <c r="C42" s="388"/>
      <c r="D42" s="91"/>
      <c r="E42" s="91"/>
      <c r="F42" s="91"/>
      <c r="G42" s="91"/>
      <c r="H42" s="91"/>
      <c r="I42" s="91"/>
      <c r="J42" s="91"/>
    </row>
    <row r="43" spans="1:10" x14ac:dyDescent="0.2">
      <c r="A43" s="90"/>
      <c r="B43" s="387"/>
      <c r="C43" s="388"/>
      <c r="D43" s="91"/>
      <c r="E43" s="91"/>
      <c r="F43" s="91"/>
      <c r="G43" s="91"/>
      <c r="H43" s="91"/>
      <c r="I43" s="91"/>
      <c r="J43" s="91"/>
    </row>
    <row r="44" spans="1:10" x14ac:dyDescent="0.2">
      <c r="A44" s="92" t="s">
        <v>329</v>
      </c>
      <c r="B44" s="92"/>
      <c r="C44" s="110"/>
      <c r="D44" s="110">
        <f>SUM(D38:D43)</f>
        <v>501099.80530000001</v>
      </c>
      <c r="E44" s="110">
        <f t="shared" ref="E44:J44" si="10">SUM(E38:E43)</f>
        <v>524342.90529999998</v>
      </c>
      <c r="F44" s="110">
        <f t="shared" si="10"/>
        <v>548887.45330000005</v>
      </c>
      <c r="G44" s="110">
        <f t="shared" si="10"/>
        <v>574805.48635000014</v>
      </c>
      <c r="H44" s="110">
        <f t="shared" si="10"/>
        <v>602172.99158500007</v>
      </c>
      <c r="I44" s="110">
        <f t="shared" si="10"/>
        <v>627683.89089925005</v>
      </c>
      <c r="J44" s="110">
        <f t="shared" si="10"/>
        <v>654470.33517921274</v>
      </c>
    </row>
    <row r="45" spans="1:10" x14ac:dyDescent="0.2">
      <c r="A45" s="92"/>
      <c r="B45" s="92"/>
      <c r="C45" s="110"/>
      <c r="D45" s="110"/>
      <c r="E45" s="110"/>
      <c r="F45" s="110"/>
      <c r="G45" s="110"/>
      <c r="H45" s="110"/>
      <c r="I45" s="110"/>
      <c r="J45" s="110"/>
    </row>
    <row r="46" spans="1:10" x14ac:dyDescent="0.2">
      <c r="A46" s="92" t="s">
        <v>129</v>
      </c>
      <c r="B46" s="92"/>
      <c r="C46" s="110"/>
      <c r="D46" s="110">
        <f>D35+D44</f>
        <v>648891.80530000001</v>
      </c>
      <c r="E46" s="110">
        <f t="shared" ref="E46:J46" si="11">E35+E44</f>
        <v>679524.50529999996</v>
      </c>
      <c r="F46" s="110">
        <f t="shared" si="11"/>
        <v>711828.1333000001</v>
      </c>
      <c r="G46" s="110">
        <f t="shared" si="11"/>
        <v>745893.20035000017</v>
      </c>
      <c r="H46" s="110">
        <f t="shared" si="11"/>
        <v>781815.09128500009</v>
      </c>
      <c r="I46" s="110">
        <f t="shared" si="11"/>
        <v>816308.09558425006</v>
      </c>
      <c r="J46" s="110">
        <f t="shared" si="11"/>
        <v>852525.7500984628</v>
      </c>
    </row>
    <row r="47" spans="1:10" x14ac:dyDescent="0.2">
      <c r="A47" s="90"/>
      <c r="B47" s="90"/>
      <c r="C47" s="91"/>
      <c r="D47" s="91"/>
      <c r="E47" s="91"/>
      <c r="F47" s="91"/>
      <c r="G47" s="91"/>
      <c r="H47" s="91"/>
      <c r="I47" s="91"/>
      <c r="J47" s="91"/>
    </row>
    <row r="48" spans="1:10" x14ac:dyDescent="0.2">
      <c r="A48" s="92" t="s">
        <v>128</v>
      </c>
      <c r="B48" s="92"/>
      <c r="C48" s="110"/>
      <c r="D48" s="110">
        <f t="shared" ref="D48:J48" si="12">D24-D46</f>
        <v>321308.19469999988</v>
      </c>
      <c r="E48" s="110">
        <f t="shared" si="12"/>
        <v>411950.49470000004</v>
      </c>
      <c r="F48" s="110">
        <f t="shared" si="12"/>
        <v>510623.8666999999</v>
      </c>
      <c r="G48" s="110">
        <f t="shared" si="12"/>
        <v>617904.81215000025</v>
      </c>
      <c r="H48" s="110">
        <f t="shared" si="12"/>
        <v>-781815.09128500009</v>
      </c>
      <c r="I48" s="110">
        <f t="shared" si="12"/>
        <v>775725.52547825058</v>
      </c>
      <c r="J48" s="110">
        <f t="shared" si="12"/>
        <v>819109.55201716314</v>
      </c>
    </row>
    <row r="49" spans="1:10" x14ac:dyDescent="0.2">
      <c r="A49" s="89"/>
      <c r="B49" s="89"/>
      <c r="C49" s="89"/>
      <c r="D49" s="89"/>
      <c r="E49" s="89"/>
      <c r="F49" s="89"/>
      <c r="G49" s="89"/>
      <c r="H49" s="89"/>
      <c r="I49" s="89"/>
      <c r="J49" s="89"/>
    </row>
    <row r="50" spans="1:10" x14ac:dyDescent="0.2">
      <c r="A50" s="89"/>
    </row>
    <row r="52" spans="1:10" x14ac:dyDescent="0.2">
      <c r="A52" s="452" t="s">
        <v>425</v>
      </c>
      <c r="B52" s="452"/>
      <c r="C52" s="452"/>
      <c r="D52" s="452"/>
      <c r="E52" s="452"/>
      <c r="F52" s="452"/>
      <c r="G52" s="452"/>
      <c r="H52" s="452"/>
      <c r="I52" s="452"/>
      <c r="J52" s="452"/>
    </row>
    <row r="54" spans="1:10" x14ac:dyDescent="0.2">
      <c r="A54" t="s">
        <v>538</v>
      </c>
    </row>
    <row r="55" spans="1:10" x14ac:dyDescent="0.2">
      <c r="A55">
        <v>1</v>
      </c>
      <c r="B55" t="s">
        <v>547</v>
      </c>
    </row>
    <row r="56" spans="1:10" x14ac:dyDescent="0.2">
      <c r="A56">
        <v>2</v>
      </c>
      <c r="B56" t="s">
        <v>548</v>
      </c>
    </row>
    <row r="57" spans="1:10" x14ac:dyDescent="0.2">
      <c r="A57">
        <v>3</v>
      </c>
      <c r="B57" s="89" t="s">
        <v>599</v>
      </c>
    </row>
  </sheetData>
  <mergeCells count="4">
    <mergeCell ref="A16:J16"/>
    <mergeCell ref="A2:H2"/>
    <mergeCell ref="A52:J52"/>
    <mergeCell ref="A3:H3"/>
  </mergeCells>
  <pageMargins left="0.7" right="0.7" top="0.75" bottom="0.75" header="0.3" footer="0.3"/>
  <pageSetup paperSize="9" scale="55"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3:P68"/>
  <sheetViews>
    <sheetView view="pageBreakPreview" topLeftCell="A25" zoomScale="80" zoomScaleNormal="55" zoomScaleSheetLayoutView="80" workbookViewId="0">
      <selection activeCell="J36" sqref="J36"/>
    </sheetView>
  </sheetViews>
  <sheetFormatPr defaultRowHeight="15" x14ac:dyDescent="0.2"/>
  <cols>
    <col min="1" max="2" width="29.45703125" customWidth="1"/>
    <col min="3" max="3" width="12.10546875" customWidth="1"/>
    <col min="4" max="4" width="10.22265625" bestFit="1" customWidth="1"/>
    <col min="5" max="5" width="13.44921875" customWidth="1"/>
    <col min="6" max="6" width="13.98828125" customWidth="1"/>
    <col min="7" max="7" width="13.44921875" customWidth="1"/>
    <col min="8" max="9" width="13.98828125" customWidth="1"/>
    <col min="10" max="11" width="14.390625" customWidth="1"/>
    <col min="12" max="12" width="12.10546875" customWidth="1"/>
    <col min="13" max="13" width="16.0078125" customWidth="1"/>
    <col min="14" max="14" width="23.26953125" customWidth="1"/>
    <col min="18" max="18" width="12.64453125" bestFit="1" customWidth="1"/>
  </cols>
  <sheetData>
    <row r="3" spans="1:13" ht="18" x14ac:dyDescent="0.2">
      <c r="A3" s="451" t="s">
        <v>589</v>
      </c>
      <c r="B3" s="451"/>
      <c r="C3" s="451"/>
      <c r="D3" s="451"/>
      <c r="E3" s="451"/>
      <c r="F3" s="451"/>
      <c r="G3" s="451"/>
      <c r="H3" s="451"/>
      <c r="I3" s="451"/>
      <c r="J3" s="451"/>
      <c r="K3" s="451"/>
      <c r="L3" s="451"/>
    </row>
    <row r="4" spans="1:13" ht="18" x14ac:dyDescent="0.2">
      <c r="A4" s="451" t="s">
        <v>590</v>
      </c>
      <c r="B4" s="451"/>
      <c r="C4" s="451"/>
      <c r="D4" s="451"/>
      <c r="E4" s="451"/>
      <c r="F4" s="451"/>
      <c r="G4" s="451"/>
      <c r="H4" s="451"/>
      <c r="I4" s="451"/>
      <c r="J4" s="451"/>
      <c r="K4" s="451"/>
      <c r="L4" s="451"/>
    </row>
    <row r="5" spans="1:13" x14ac:dyDescent="0.2">
      <c r="A5" s="89"/>
      <c r="B5" s="89"/>
      <c r="C5" s="89"/>
    </row>
    <row r="6" spans="1:13" x14ac:dyDescent="0.2">
      <c r="A6" s="89"/>
      <c r="B6" s="89"/>
      <c r="C6" s="89"/>
    </row>
    <row r="7" spans="1:13" ht="41.25" x14ac:dyDescent="0.2">
      <c r="A7" s="258" t="s">
        <v>145</v>
      </c>
      <c r="B7" s="259" t="s">
        <v>433</v>
      </c>
      <c r="C7" s="259" t="s">
        <v>436</v>
      </c>
      <c r="D7" s="259" t="s">
        <v>434</v>
      </c>
      <c r="E7" s="259" t="s">
        <v>435</v>
      </c>
      <c r="F7" s="259" t="s">
        <v>308</v>
      </c>
      <c r="G7" s="259" t="s">
        <v>437</v>
      </c>
      <c r="H7" s="259" t="s">
        <v>438</v>
      </c>
      <c r="I7" s="259" t="s">
        <v>439</v>
      </c>
      <c r="J7" s="261" t="s">
        <v>442</v>
      </c>
      <c r="K7" s="259" t="s">
        <v>440</v>
      </c>
      <c r="L7" s="261" t="s">
        <v>441</v>
      </c>
      <c r="M7" s="259" t="s">
        <v>444</v>
      </c>
    </row>
    <row r="8" spans="1:13" x14ac:dyDescent="0.2">
      <c r="A8" s="260">
        <v>1</v>
      </c>
      <c r="B8" s="254">
        <f>'2.Capex Details'!C22</f>
        <v>0</v>
      </c>
      <c r="C8" s="254">
        <v>0</v>
      </c>
      <c r="D8" s="254">
        <v>0</v>
      </c>
      <c r="E8" s="254">
        <v>6</v>
      </c>
      <c r="F8" s="263">
        <f>D8*E8*C8</f>
        <v>0</v>
      </c>
      <c r="G8" s="254">
        <v>3</v>
      </c>
      <c r="H8" s="263">
        <f>F8/G8</f>
        <v>0</v>
      </c>
      <c r="I8" s="254">
        <v>12</v>
      </c>
      <c r="J8" s="263">
        <f>H8*I8</f>
        <v>0</v>
      </c>
      <c r="K8" s="254">
        <v>3000</v>
      </c>
      <c r="L8" s="254">
        <v>1</v>
      </c>
      <c r="M8" s="263">
        <f t="shared" ref="M8:M17" si="0">D8*L8</f>
        <v>0</v>
      </c>
    </row>
    <row r="9" spans="1:13" x14ac:dyDescent="0.2">
      <c r="A9" s="260">
        <v>2</v>
      </c>
      <c r="B9" s="254">
        <f>'2.Capex Details'!C23</f>
        <v>0</v>
      </c>
      <c r="C9" s="254">
        <v>0</v>
      </c>
      <c r="D9" s="254">
        <v>0</v>
      </c>
      <c r="E9" s="254">
        <v>6</v>
      </c>
      <c r="F9" s="263">
        <f t="shared" ref="F9:F17" si="1">D9*E9*C9</f>
        <v>0</v>
      </c>
      <c r="G9" s="254">
        <v>2</v>
      </c>
      <c r="H9" s="263">
        <f>F9/G9</f>
        <v>0</v>
      </c>
      <c r="I9" s="254">
        <v>0</v>
      </c>
      <c r="J9" s="263">
        <f>H9*I9</f>
        <v>0</v>
      </c>
      <c r="K9" s="254">
        <v>1200</v>
      </c>
      <c r="L9" s="254">
        <v>1</v>
      </c>
      <c r="M9" s="263">
        <f t="shared" si="0"/>
        <v>0</v>
      </c>
    </row>
    <row r="10" spans="1:13" x14ac:dyDescent="0.2">
      <c r="A10" s="260">
        <v>3</v>
      </c>
      <c r="B10" s="254">
        <f>'2.Capex Details'!C24</f>
        <v>0</v>
      </c>
      <c r="C10" s="254">
        <v>0</v>
      </c>
      <c r="D10" s="254">
        <v>0</v>
      </c>
      <c r="E10" s="254">
        <v>6</v>
      </c>
      <c r="F10" s="263">
        <f t="shared" si="1"/>
        <v>0</v>
      </c>
      <c r="G10" s="254">
        <v>2</v>
      </c>
      <c r="H10" s="263">
        <f>F10/G10</f>
        <v>0</v>
      </c>
      <c r="I10" s="254">
        <v>8</v>
      </c>
      <c r="J10" s="263">
        <f>H10*I10</f>
        <v>0</v>
      </c>
      <c r="K10" s="254">
        <v>1800</v>
      </c>
      <c r="L10" s="254">
        <v>1</v>
      </c>
      <c r="M10" s="263">
        <f t="shared" si="0"/>
        <v>0</v>
      </c>
    </row>
    <row r="11" spans="1:13" x14ac:dyDescent="0.2">
      <c r="A11" s="260">
        <v>4</v>
      </c>
      <c r="B11" s="254"/>
      <c r="C11" s="254">
        <v>0</v>
      </c>
      <c r="D11" s="254">
        <v>0</v>
      </c>
      <c r="E11" s="254">
        <v>6</v>
      </c>
      <c r="F11" s="263">
        <f t="shared" si="1"/>
        <v>0</v>
      </c>
      <c r="G11" s="254">
        <v>1</v>
      </c>
      <c r="H11" s="263">
        <f>F11/G11</f>
        <v>0</v>
      </c>
      <c r="I11" s="254">
        <v>3</v>
      </c>
      <c r="J11" s="263">
        <f>H11*I11</f>
        <v>0</v>
      </c>
      <c r="K11" s="254">
        <v>800</v>
      </c>
      <c r="L11" s="254">
        <v>1</v>
      </c>
      <c r="M11" s="263">
        <f t="shared" si="0"/>
        <v>0</v>
      </c>
    </row>
    <row r="12" spans="1:13" x14ac:dyDescent="0.2">
      <c r="A12" s="260">
        <v>5</v>
      </c>
      <c r="B12" s="254"/>
      <c r="C12" s="254">
        <v>0</v>
      </c>
      <c r="D12" s="254">
        <v>0</v>
      </c>
      <c r="E12" s="254">
        <v>6</v>
      </c>
      <c r="F12" s="263">
        <f t="shared" si="1"/>
        <v>0</v>
      </c>
      <c r="G12" s="254">
        <v>3</v>
      </c>
      <c r="H12" s="263">
        <f>F12/G12</f>
        <v>0</v>
      </c>
      <c r="I12" s="254">
        <v>12</v>
      </c>
      <c r="J12" s="263">
        <f>H12*I12</f>
        <v>0</v>
      </c>
      <c r="K12" s="254">
        <v>3000</v>
      </c>
      <c r="L12" s="254">
        <v>1</v>
      </c>
      <c r="M12" s="263">
        <f t="shared" si="0"/>
        <v>0</v>
      </c>
    </row>
    <row r="13" spans="1:13" x14ac:dyDescent="0.2">
      <c r="A13" s="260">
        <v>6</v>
      </c>
      <c r="B13" s="254">
        <f>'2.Capex Details'!C27</f>
        <v>0</v>
      </c>
      <c r="C13" s="254">
        <v>0</v>
      </c>
      <c r="D13" s="254">
        <v>0</v>
      </c>
      <c r="E13" s="254">
        <v>6</v>
      </c>
      <c r="F13" s="263">
        <f t="shared" ref="F13:F16" si="2">D13*E13*C13</f>
        <v>0</v>
      </c>
      <c r="G13" s="254">
        <v>3</v>
      </c>
      <c r="H13" s="263">
        <f t="shared" ref="H13:H16" si="3">F13/G13</f>
        <v>0</v>
      </c>
      <c r="I13" s="254">
        <v>12</v>
      </c>
      <c r="J13" s="263">
        <f t="shared" ref="J13:J16" si="4">H13*I13</f>
        <v>0</v>
      </c>
      <c r="K13" s="254">
        <v>1400</v>
      </c>
      <c r="L13" s="254">
        <v>1</v>
      </c>
      <c r="M13" s="263">
        <f t="shared" ref="M13:M16" si="5">D13*L13</f>
        <v>0</v>
      </c>
    </row>
    <row r="14" spans="1:13" x14ac:dyDescent="0.2">
      <c r="A14" s="260">
        <v>7</v>
      </c>
      <c r="B14" s="254">
        <f>'2.Capex Details'!C28</f>
        <v>0</v>
      </c>
      <c r="C14" s="254">
        <v>0</v>
      </c>
      <c r="D14" s="254">
        <v>0</v>
      </c>
      <c r="E14" s="254">
        <v>6</v>
      </c>
      <c r="F14" s="263">
        <f t="shared" si="2"/>
        <v>0</v>
      </c>
      <c r="G14" s="254">
        <v>2</v>
      </c>
      <c r="H14" s="263">
        <f t="shared" si="3"/>
        <v>0</v>
      </c>
      <c r="I14" s="254">
        <v>5</v>
      </c>
      <c r="J14" s="263">
        <f t="shared" si="4"/>
        <v>0</v>
      </c>
      <c r="K14" s="254">
        <v>1400</v>
      </c>
      <c r="L14" s="254">
        <v>1</v>
      </c>
      <c r="M14" s="263">
        <f t="shared" si="5"/>
        <v>0</v>
      </c>
    </row>
    <row r="15" spans="1:13" x14ac:dyDescent="0.2">
      <c r="A15" s="260">
        <v>8</v>
      </c>
      <c r="B15" s="254" t="s">
        <v>690</v>
      </c>
      <c r="C15" s="254">
        <v>0</v>
      </c>
      <c r="D15" s="254">
        <v>0</v>
      </c>
      <c r="E15" s="254">
        <v>6</v>
      </c>
      <c r="F15" s="263">
        <f t="shared" si="2"/>
        <v>0</v>
      </c>
      <c r="G15" s="254">
        <v>2</v>
      </c>
      <c r="H15" s="263">
        <f t="shared" si="3"/>
        <v>0</v>
      </c>
      <c r="I15" s="254">
        <v>10</v>
      </c>
      <c r="J15" s="263">
        <f t="shared" si="4"/>
        <v>0</v>
      </c>
      <c r="K15" s="254">
        <v>3000</v>
      </c>
      <c r="L15" s="254">
        <v>1</v>
      </c>
      <c r="M15" s="263">
        <f t="shared" si="5"/>
        <v>0</v>
      </c>
    </row>
    <row r="16" spans="1:13" x14ac:dyDescent="0.2">
      <c r="A16" s="260">
        <v>9</v>
      </c>
      <c r="B16" s="254" t="s">
        <v>690</v>
      </c>
      <c r="C16" s="254">
        <v>0</v>
      </c>
      <c r="D16" s="254">
        <v>0</v>
      </c>
      <c r="E16" s="254">
        <v>6</v>
      </c>
      <c r="F16" s="263">
        <f t="shared" si="2"/>
        <v>0</v>
      </c>
      <c r="G16" s="254">
        <v>2</v>
      </c>
      <c r="H16" s="263">
        <f t="shared" si="3"/>
        <v>0</v>
      </c>
      <c r="I16" s="254">
        <v>10</v>
      </c>
      <c r="J16" s="263">
        <f t="shared" si="4"/>
        <v>0</v>
      </c>
      <c r="K16" s="254">
        <v>3000</v>
      </c>
      <c r="L16" s="254">
        <v>1</v>
      </c>
      <c r="M16" s="263">
        <f t="shared" si="5"/>
        <v>0</v>
      </c>
    </row>
    <row r="17" spans="1:16" x14ac:dyDescent="0.2">
      <c r="A17" s="260">
        <v>10</v>
      </c>
      <c r="B17" s="9"/>
      <c r="C17" s="9"/>
      <c r="D17" s="9"/>
      <c r="E17" s="9"/>
      <c r="F17" s="263">
        <f t="shared" si="1"/>
        <v>0</v>
      </c>
      <c r="G17" s="9">
        <v>0</v>
      </c>
      <c r="H17" s="254"/>
      <c r="I17" s="9"/>
      <c r="J17" s="263">
        <f t="shared" ref="J17" si="6">H17*I17</f>
        <v>0</v>
      </c>
      <c r="K17" s="9"/>
      <c r="L17" s="263"/>
      <c r="M17" s="263">
        <f t="shared" si="0"/>
        <v>0</v>
      </c>
    </row>
    <row r="18" spans="1:16" x14ac:dyDescent="0.2">
      <c r="A18" s="14"/>
      <c r="B18" s="14"/>
      <c r="C18" s="264"/>
      <c r="D18" s="264"/>
      <c r="E18" s="264"/>
      <c r="F18" s="264"/>
      <c r="G18" s="264"/>
      <c r="H18" s="264"/>
      <c r="I18" s="264"/>
      <c r="J18" s="264"/>
      <c r="K18" s="264"/>
      <c r="L18" s="264"/>
      <c r="M18" s="262"/>
    </row>
    <row r="19" spans="1:16" x14ac:dyDescent="0.2">
      <c r="A19" s="14"/>
      <c r="B19" s="14"/>
      <c r="C19" s="264"/>
      <c r="D19" s="264"/>
      <c r="E19" s="264"/>
      <c r="F19" s="264"/>
      <c r="G19" s="264"/>
      <c r="H19" s="264"/>
      <c r="I19" s="264"/>
      <c r="J19" s="264"/>
      <c r="K19" s="264"/>
      <c r="L19" s="264"/>
      <c r="M19" s="262"/>
    </row>
    <row r="21" spans="1:16" ht="18" x14ac:dyDescent="0.2">
      <c r="A21" s="451" t="s">
        <v>591</v>
      </c>
      <c r="B21" s="451"/>
      <c r="C21" s="451"/>
      <c r="D21" s="451"/>
      <c r="E21" s="451"/>
      <c r="F21" s="451"/>
      <c r="G21" s="451"/>
      <c r="H21" s="451"/>
      <c r="I21" s="451"/>
      <c r="J21" s="451"/>
      <c r="K21" s="451"/>
    </row>
    <row r="22" spans="1:16" x14ac:dyDescent="0.2">
      <c r="H22">
        <f>'11.F&amp;V Crop Production details'!H83</f>
        <v>0</v>
      </c>
    </row>
    <row r="23" spans="1:16" x14ac:dyDescent="0.2">
      <c r="A23" s="89"/>
      <c r="B23" s="89"/>
      <c r="C23" s="89"/>
      <c r="D23" s="89"/>
      <c r="E23" s="173">
        <v>1</v>
      </c>
      <c r="F23" s="178">
        <f>(E23*5%)+E23</f>
        <v>1.05</v>
      </c>
      <c r="G23" s="178">
        <f t="shared" ref="G23:K23" si="7">(F23*5%)+F23</f>
        <v>1.1025</v>
      </c>
      <c r="H23" s="178">
        <f t="shared" si="7"/>
        <v>1.1576250000000001</v>
      </c>
      <c r="I23" s="178">
        <f t="shared" si="7"/>
        <v>1.2155062500000002</v>
      </c>
      <c r="J23" s="178">
        <f t="shared" si="7"/>
        <v>1.2762815625000004</v>
      </c>
      <c r="K23" s="178">
        <f t="shared" si="7"/>
        <v>1.3400956406250004</v>
      </c>
    </row>
    <row r="24" spans="1:16" x14ac:dyDescent="0.2">
      <c r="A24" s="143" t="s">
        <v>0</v>
      </c>
      <c r="B24" s="143" t="s">
        <v>132</v>
      </c>
      <c r="C24" s="143" t="s">
        <v>146</v>
      </c>
      <c r="D24" s="143" t="s">
        <v>153</v>
      </c>
      <c r="E24" s="115" t="s">
        <v>2</v>
      </c>
      <c r="F24" s="115" t="s">
        <v>3</v>
      </c>
      <c r="G24" s="115" t="s">
        <v>4</v>
      </c>
      <c r="H24" s="115" t="s">
        <v>5</v>
      </c>
      <c r="I24" s="115" t="s">
        <v>6</v>
      </c>
      <c r="J24" s="115" t="s">
        <v>170</v>
      </c>
      <c r="K24" s="115" t="s">
        <v>169</v>
      </c>
    </row>
    <row r="25" spans="1:16" x14ac:dyDescent="0.2">
      <c r="A25" s="92"/>
      <c r="B25" s="92"/>
      <c r="C25" s="92"/>
      <c r="D25" s="92"/>
      <c r="E25" s="90"/>
      <c r="F25" s="90"/>
      <c r="G25" s="90"/>
      <c r="H25" s="90"/>
      <c r="I25" s="90"/>
      <c r="J25" s="90"/>
      <c r="K25" s="90"/>
    </row>
    <row r="26" spans="1:16" x14ac:dyDescent="0.2">
      <c r="A26" s="92" t="s">
        <v>126</v>
      </c>
      <c r="B26" s="92"/>
      <c r="C26" s="92"/>
      <c r="D26" s="92"/>
      <c r="E26" s="90"/>
      <c r="F26" s="90"/>
      <c r="G26" s="90"/>
      <c r="H26" s="90"/>
      <c r="I26" s="90"/>
      <c r="J26" s="90"/>
      <c r="K26" s="90"/>
      <c r="P26" s="89"/>
    </row>
    <row r="27" spans="1:16" x14ac:dyDescent="0.2">
      <c r="A27" s="190" t="s">
        <v>446</v>
      </c>
      <c r="B27" s="104"/>
      <c r="C27" s="265"/>
      <c r="D27" s="265"/>
      <c r="E27" s="91"/>
      <c r="F27" s="91"/>
      <c r="G27" s="91"/>
      <c r="H27" s="91"/>
      <c r="I27" s="91"/>
      <c r="J27" s="91"/>
      <c r="K27" s="91"/>
      <c r="P27" s="89"/>
    </row>
    <row r="28" spans="1:16" x14ac:dyDescent="0.2">
      <c r="A28" s="104">
        <f>B8</f>
        <v>0</v>
      </c>
      <c r="B28" s="104"/>
      <c r="C28" s="265">
        <f>H8</f>
        <v>0</v>
      </c>
      <c r="D28" s="265">
        <f>K8</f>
        <v>3000</v>
      </c>
      <c r="E28" s="91">
        <f>$C$28*$D$28*E23</f>
        <v>0</v>
      </c>
      <c r="F28" s="91">
        <f t="shared" ref="F28:K28" si="8">$C$28*$D$28*F23</f>
        <v>0</v>
      </c>
      <c r="G28" s="91">
        <f t="shared" si="8"/>
        <v>0</v>
      </c>
      <c r="H28" s="91">
        <f t="shared" si="8"/>
        <v>0</v>
      </c>
      <c r="I28" s="91">
        <f t="shared" si="8"/>
        <v>0</v>
      </c>
      <c r="J28" s="91">
        <f t="shared" si="8"/>
        <v>0</v>
      </c>
      <c r="K28" s="91">
        <f t="shared" si="8"/>
        <v>0</v>
      </c>
      <c r="P28" s="89"/>
    </row>
    <row r="29" spans="1:16" x14ac:dyDescent="0.2">
      <c r="A29" s="104">
        <f>B9</f>
        <v>0</v>
      </c>
      <c r="B29" s="104"/>
      <c r="C29" s="265">
        <f t="shared" ref="C29:C38" si="9">H9</f>
        <v>0</v>
      </c>
      <c r="D29" s="265">
        <f>K9</f>
        <v>1200</v>
      </c>
      <c r="E29" s="91">
        <f>$C$29*$D$29*E23</f>
        <v>0</v>
      </c>
      <c r="F29" s="91">
        <f t="shared" ref="F29:K29" si="10">$C$29*$D$29*F23</f>
        <v>0</v>
      </c>
      <c r="G29" s="91">
        <f t="shared" si="10"/>
        <v>0</v>
      </c>
      <c r="H29" s="91">
        <f t="shared" si="10"/>
        <v>0</v>
      </c>
      <c r="I29" s="91">
        <f t="shared" si="10"/>
        <v>0</v>
      </c>
      <c r="J29" s="91">
        <f t="shared" si="10"/>
        <v>0</v>
      </c>
      <c r="K29" s="91">
        <f t="shared" si="10"/>
        <v>0</v>
      </c>
      <c r="P29" s="89"/>
    </row>
    <row r="30" spans="1:16" x14ac:dyDescent="0.2">
      <c r="A30" s="104">
        <f>B10</f>
        <v>0</v>
      </c>
      <c r="B30" s="104"/>
      <c r="C30" s="265">
        <f t="shared" si="9"/>
        <v>0</v>
      </c>
      <c r="D30" s="265">
        <f>K10</f>
        <v>1800</v>
      </c>
      <c r="E30" s="91">
        <f>$C$30*$D$30*E23</f>
        <v>0</v>
      </c>
      <c r="F30" s="91">
        <f t="shared" ref="F30:K30" si="11">$C$30*$D$30*F23</f>
        <v>0</v>
      </c>
      <c r="G30" s="91">
        <f t="shared" si="11"/>
        <v>0</v>
      </c>
      <c r="H30" s="91">
        <f t="shared" si="11"/>
        <v>0</v>
      </c>
      <c r="I30" s="91">
        <f t="shared" si="11"/>
        <v>0</v>
      </c>
      <c r="J30" s="91">
        <f t="shared" si="11"/>
        <v>0</v>
      </c>
      <c r="K30" s="91">
        <f t="shared" si="11"/>
        <v>0</v>
      </c>
      <c r="P30" s="89"/>
    </row>
    <row r="31" spans="1:16" x14ac:dyDescent="0.2">
      <c r="A31" s="104">
        <f>B11</f>
        <v>0</v>
      </c>
      <c r="B31" s="104"/>
      <c r="C31" s="265">
        <f t="shared" si="9"/>
        <v>0</v>
      </c>
      <c r="D31" s="265">
        <f>K11</f>
        <v>800</v>
      </c>
      <c r="E31" s="91">
        <f>$C$31*$D$31*E23</f>
        <v>0</v>
      </c>
      <c r="F31" s="91">
        <f t="shared" ref="F31:K31" si="12">$C$31*$D$31*F23</f>
        <v>0</v>
      </c>
      <c r="G31" s="91">
        <f t="shared" si="12"/>
        <v>0</v>
      </c>
      <c r="H31" s="91">
        <f t="shared" si="12"/>
        <v>0</v>
      </c>
      <c r="I31" s="91">
        <f t="shared" si="12"/>
        <v>0</v>
      </c>
      <c r="J31" s="91">
        <f t="shared" si="12"/>
        <v>0</v>
      </c>
      <c r="K31" s="91">
        <f t="shared" si="12"/>
        <v>0</v>
      </c>
      <c r="P31" s="89"/>
    </row>
    <row r="32" spans="1:16" x14ac:dyDescent="0.2">
      <c r="A32" s="104">
        <f>B12</f>
        <v>0</v>
      </c>
      <c r="B32" s="104"/>
      <c r="C32" s="265">
        <f t="shared" si="9"/>
        <v>0</v>
      </c>
      <c r="D32" s="265">
        <f>K12</f>
        <v>3000</v>
      </c>
      <c r="E32" s="91">
        <f>$C$32*$D$32*E23</f>
        <v>0</v>
      </c>
      <c r="F32" s="91">
        <f t="shared" ref="F32:K32" si="13">$C$32*$D$32*F23</f>
        <v>0</v>
      </c>
      <c r="G32" s="91">
        <f t="shared" si="13"/>
        <v>0</v>
      </c>
      <c r="H32" s="91">
        <f t="shared" si="13"/>
        <v>0</v>
      </c>
      <c r="I32" s="91">
        <f t="shared" si="13"/>
        <v>0</v>
      </c>
      <c r="J32" s="91">
        <f t="shared" si="13"/>
        <v>0</v>
      </c>
      <c r="K32" s="91">
        <f t="shared" si="13"/>
        <v>0</v>
      </c>
      <c r="P32" s="89"/>
    </row>
    <row r="33" spans="1:16" x14ac:dyDescent="0.2">
      <c r="A33" s="104" t="s">
        <v>694</v>
      </c>
      <c r="B33" s="104"/>
      <c r="C33" s="265">
        <f t="shared" si="9"/>
        <v>0</v>
      </c>
      <c r="D33" s="265">
        <f t="shared" ref="D33:D38" si="14">K13</f>
        <v>1400</v>
      </c>
      <c r="E33" s="91">
        <f>$C$33*$D$33*E23</f>
        <v>0</v>
      </c>
      <c r="F33" s="91">
        <f t="shared" ref="F33:K33" si="15">$C$33*$D$33*F23</f>
        <v>0</v>
      </c>
      <c r="G33" s="91">
        <f t="shared" si="15"/>
        <v>0</v>
      </c>
      <c r="H33" s="91">
        <f t="shared" si="15"/>
        <v>0</v>
      </c>
      <c r="I33" s="91">
        <f t="shared" si="15"/>
        <v>0</v>
      </c>
      <c r="J33" s="91">
        <f t="shared" si="15"/>
        <v>0</v>
      </c>
      <c r="K33" s="91">
        <f t="shared" si="15"/>
        <v>0</v>
      </c>
      <c r="P33" s="89"/>
    </row>
    <row r="34" spans="1:16" x14ac:dyDescent="0.2">
      <c r="A34" s="104" t="s">
        <v>695</v>
      </c>
      <c r="B34" s="104"/>
      <c r="C34" s="265">
        <f>H14</f>
        <v>0</v>
      </c>
      <c r="D34" s="265">
        <f t="shared" si="14"/>
        <v>1400</v>
      </c>
      <c r="E34" s="91">
        <f>$C$34*$D$34*E23</f>
        <v>0</v>
      </c>
      <c r="F34" s="91">
        <f t="shared" ref="F34:K34" si="16">$C$34*$D$34*F23</f>
        <v>0</v>
      </c>
      <c r="G34" s="91">
        <f t="shared" si="16"/>
        <v>0</v>
      </c>
      <c r="H34" s="91">
        <f t="shared" si="16"/>
        <v>0</v>
      </c>
      <c r="I34" s="91">
        <f t="shared" si="16"/>
        <v>0</v>
      </c>
      <c r="J34" s="91">
        <f t="shared" si="16"/>
        <v>0</v>
      </c>
      <c r="K34" s="91">
        <f t="shared" si="16"/>
        <v>0</v>
      </c>
      <c r="P34" s="89"/>
    </row>
    <row r="35" spans="1:16" x14ac:dyDescent="0.2">
      <c r="A35" s="104"/>
      <c r="B35" s="104"/>
      <c r="C35" s="265">
        <f t="shared" si="9"/>
        <v>0</v>
      </c>
      <c r="D35" s="265">
        <f t="shared" si="14"/>
        <v>3000</v>
      </c>
      <c r="E35" s="91">
        <f>$C$35*$D$35*E23</f>
        <v>0</v>
      </c>
      <c r="F35" s="91">
        <f t="shared" ref="F35:K35" si="17">$C$35*$D$35*F23</f>
        <v>0</v>
      </c>
      <c r="G35" s="91">
        <f t="shared" si="17"/>
        <v>0</v>
      </c>
      <c r="H35" s="91">
        <f t="shared" si="17"/>
        <v>0</v>
      </c>
      <c r="I35" s="91">
        <f t="shared" si="17"/>
        <v>0</v>
      </c>
      <c r="J35" s="91">
        <f t="shared" si="17"/>
        <v>0</v>
      </c>
      <c r="K35" s="91">
        <f t="shared" si="17"/>
        <v>0</v>
      </c>
      <c r="P35" s="89"/>
    </row>
    <row r="36" spans="1:16" x14ac:dyDescent="0.2">
      <c r="A36" s="104"/>
      <c r="B36" s="104"/>
      <c r="C36" s="265">
        <f t="shared" si="9"/>
        <v>0</v>
      </c>
      <c r="D36" s="265">
        <f t="shared" si="14"/>
        <v>3000</v>
      </c>
      <c r="E36" s="91">
        <f>$C$36*$D$36*E23</f>
        <v>0</v>
      </c>
      <c r="F36" s="91">
        <f t="shared" ref="F36:K36" si="18">$C$36*$D$36*F23</f>
        <v>0</v>
      </c>
      <c r="G36" s="91">
        <f t="shared" si="18"/>
        <v>0</v>
      </c>
      <c r="H36" s="91">
        <f t="shared" si="18"/>
        <v>0</v>
      </c>
      <c r="I36" s="91">
        <f t="shared" si="18"/>
        <v>0</v>
      </c>
      <c r="J36" s="91">
        <f t="shared" si="18"/>
        <v>0</v>
      </c>
      <c r="K36" s="91">
        <f t="shared" si="18"/>
        <v>0</v>
      </c>
      <c r="P36" s="89"/>
    </row>
    <row r="37" spans="1:16" x14ac:dyDescent="0.2">
      <c r="A37" s="104"/>
      <c r="B37" s="104"/>
      <c r="C37" s="265">
        <f t="shared" si="9"/>
        <v>0</v>
      </c>
      <c r="D37" s="265">
        <f t="shared" si="14"/>
        <v>0</v>
      </c>
      <c r="E37" s="91">
        <f>$C$37*$D$37*E23</f>
        <v>0</v>
      </c>
      <c r="F37" s="91">
        <f t="shared" ref="F37:K37" si="19">$C$37*$D$37*F23</f>
        <v>0</v>
      </c>
      <c r="G37" s="91">
        <f t="shared" si="19"/>
        <v>0</v>
      </c>
      <c r="H37" s="91">
        <f t="shared" si="19"/>
        <v>0</v>
      </c>
      <c r="I37" s="91">
        <f t="shared" si="19"/>
        <v>0</v>
      </c>
      <c r="J37" s="91">
        <f t="shared" si="19"/>
        <v>0</v>
      </c>
      <c r="K37" s="91">
        <f t="shared" si="19"/>
        <v>0</v>
      </c>
      <c r="P37" s="89"/>
    </row>
    <row r="38" spans="1:16" x14ac:dyDescent="0.2">
      <c r="A38" s="92"/>
      <c r="B38" s="92"/>
      <c r="C38" s="265">
        <f t="shared" si="9"/>
        <v>0</v>
      </c>
      <c r="D38" s="265">
        <f t="shared" si="14"/>
        <v>0</v>
      </c>
      <c r="E38" s="91">
        <f>$C$38*$D$38*E23</f>
        <v>0</v>
      </c>
      <c r="F38" s="91">
        <f t="shared" ref="F38:K38" si="20">$C$38*$D$38*F23</f>
        <v>0</v>
      </c>
      <c r="G38" s="91">
        <f t="shared" si="20"/>
        <v>0</v>
      </c>
      <c r="H38" s="91">
        <f t="shared" si="20"/>
        <v>0</v>
      </c>
      <c r="I38" s="91">
        <f t="shared" si="20"/>
        <v>0</v>
      </c>
      <c r="J38" s="91">
        <f t="shared" si="20"/>
        <v>0</v>
      </c>
      <c r="K38" s="91">
        <f t="shared" si="20"/>
        <v>0</v>
      </c>
      <c r="P38" s="89"/>
    </row>
    <row r="39" spans="1:16" x14ac:dyDescent="0.2">
      <c r="A39" s="92" t="s">
        <v>143</v>
      </c>
      <c r="B39" s="92"/>
      <c r="C39" s="96"/>
      <c r="D39" s="96"/>
      <c r="E39" s="91">
        <f>SUM(E28:E38)</f>
        <v>0</v>
      </c>
      <c r="F39" s="91">
        <f t="shared" ref="F39:K39" si="21">SUM(F28:F38)</f>
        <v>0</v>
      </c>
      <c r="G39" s="91">
        <f t="shared" si="21"/>
        <v>0</v>
      </c>
      <c r="H39" s="91">
        <f t="shared" si="21"/>
        <v>0</v>
      </c>
      <c r="I39" s="91">
        <f t="shared" si="21"/>
        <v>0</v>
      </c>
      <c r="J39" s="91">
        <f t="shared" si="21"/>
        <v>0</v>
      </c>
      <c r="K39" s="91">
        <f t="shared" si="21"/>
        <v>0</v>
      </c>
      <c r="P39" s="89"/>
    </row>
    <row r="40" spans="1:16" x14ac:dyDescent="0.2">
      <c r="A40" s="90"/>
      <c r="B40" s="90"/>
      <c r="C40" s="94"/>
      <c r="D40" s="94"/>
      <c r="E40" s="91"/>
      <c r="F40" s="91"/>
      <c r="G40" s="91"/>
      <c r="H40" s="91"/>
      <c r="I40" s="91"/>
      <c r="J40" s="91"/>
      <c r="K40" s="91"/>
      <c r="P40" s="89"/>
    </row>
    <row r="41" spans="1:16" x14ac:dyDescent="0.2">
      <c r="A41" s="92" t="s">
        <v>142</v>
      </c>
      <c r="B41" s="92"/>
      <c r="C41" s="96"/>
      <c r="D41" s="96"/>
      <c r="E41" s="91"/>
      <c r="F41" s="91"/>
      <c r="G41" s="91"/>
      <c r="H41" s="91"/>
      <c r="I41" s="91"/>
      <c r="J41" s="91"/>
      <c r="K41" s="91"/>
      <c r="P41" s="89"/>
    </row>
    <row r="42" spans="1:16" x14ac:dyDescent="0.2">
      <c r="A42" s="92" t="s">
        <v>309</v>
      </c>
      <c r="B42" s="92"/>
      <c r="C42" s="96"/>
      <c r="D42" s="96"/>
      <c r="E42" s="91"/>
      <c r="F42" s="91"/>
      <c r="G42" s="91"/>
      <c r="H42" s="91"/>
      <c r="I42" s="91"/>
      <c r="J42" s="91"/>
      <c r="K42" s="91"/>
    </row>
    <row r="43" spans="1:16" x14ac:dyDescent="0.2">
      <c r="A43" s="90" t="s">
        <v>310</v>
      </c>
      <c r="B43" s="90" t="s">
        <v>443</v>
      </c>
      <c r="C43" s="94">
        <f>SUM(J8:J17)</f>
        <v>0</v>
      </c>
      <c r="D43" s="223">
        <v>100</v>
      </c>
      <c r="E43" s="91">
        <f>$C$43*$D$43*E23</f>
        <v>0</v>
      </c>
      <c r="F43" s="91">
        <f t="shared" ref="F43:K43" si="22">$C$43*$D$43*F23</f>
        <v>0</v>
      </c>
      <c r="G43" s="91">
        <f t="shared" si="22"/>
        <v>0</v>
      </c>
      <c r="H43" s="91">
        <f t="shared" si="22"/>
        <v>0</v>
      </c>
      <c r="I43" s="91">
        <f t="shared" si="22"/>
        <v>0</v>
      </c>
      <c r="J43" s="91">
        <f t="shared" si="22"/>
        <v>0</v>
      </c>
      <c r="K43" s="91">
        <f t="shared" si="22"/>
        <v>0</v>
      </c>
    </row>
    <row r="44" spans="1:16" x14ac:dyDescent="0.2">
      <c r="A44" s="90" t="s">
        <v>311</v>
      </c>
      <c r="B44" s="90" t="s">
        <v>445</v>
      </c>
      <c r="C44" s="94">
        <f>SUM(M8:M17)</f>
        <v>0</v>
      </c>
      <c r="D44" s="223">
        <v>300</v>
      </c>
      <c r="E44" s="91">
        <f>$C$44*$D$44*E23</f>
        <v>0</v>
      </c>
      <c r="F44" s="91">
        <f t="shared" ref="F44:K44" si="23">$C$44*$D$44*F23</f>
        <v>0</v>
      </c>
      <c r="G44" s="91">
        <f t="shared" si="23"/>
        <v>0</v>
      </c>
      <c r="H44" s="91">
        <f t="shared" si="23"/>
        <v>0</v>
      </c>
      <c r="I44" s="91">
        <f t="shared" si="23"/>
        <v>0</v>
      </c>
      <c r="J44" s="91">
        <f t="shared" si="23"/>
        <v>0</v>
      </c>
      <c r="K44" s="91">
        <f t="shared" si="23"/>
        <v>0</v>
      </c>
    </row>
    <row r="45" spans="1:16" x14ac:dyDescent="0.2">
      <c r="A45" s="90"/>
      <c r="B45" s="90"/>
      <c r="C45" s="223"/>
      <c r="D45" s="223"/>
      <c r="E45" s="91"/>
      <c r="F45" s="91"/>
      <c r="G45" s="91"/>
      <c r="H45" s="91"/>
      <c r="I45" s="91"/>
      <c r="J45" s="91"/>
      <c r="K45" s="91"/>
    </row>
    <row r="46" spans="1:16" x14ac:dyDescent="0.2">
      <c r="A46" s="90"/>
      <c r="B46" s="90"/>
      <c r="C46" s="223"/>
      <c r="D46" s="223"/>
      <c r="E46" s="91"/>
      <c r="F46" s="91"/>
      <c r="G46" s="91"/>
      <c r="H46" s="91"/>
      <c r="I46" s="91"/>
      <c r="J46" s="91"/>
      <c r="K46" s="91"/>
    </row>
    <row r="47" spans="1:16" x14ac:dyDescent="0.2">
      <c r="A47" s="90"/>
      <c r="B47" s="90"/>
      <c r="C47" s="223"/>
      <c r="D47" s="223"/>
      <c r="E47" s="91"/>
      <c r="F47" s="91"/>
      <c r="G47" s="91"/>
      <c r="H47" s="91"/>
      <c r="I47" s="91"/>
      <c r="J47" s="91"/>
      <c r="K47" s="91"/>
    </row>
    <row r="48" spans="1:16" x14ac:dyDescent="0.2">
      <c r="A48" s="90"/>
      <c r="B48" s="90"/>
      <c r="C48" s="223"/>
      <c r="D48" s="223"/>
      <c r="E48" s="91"/>
      <c r="F48" s="91"/>
      <c r="G48" s="91"/>
      <c r="H48" s="91"/>
      <c r="I48" s="91"/>
      <c r="J48" s="91"/>
      <c r="K48" s="91"/>
    </row>
    <row r="49" spans="1:12" x14ac:dyDescent="0.2">
      <c r="A49" s="92" t="s">
        <v>325</v>
      </c>
      <c r="B49" s="92"/>
      <c r="C49" s="224"/>
      <c r="D49" s="224"/>
      <c r="E49" s="110">
        <f>SUM(E43:E48)</f>
        <v>0</v>
      </c>
      <c r="F49" s="110">
        <f t="shared" ref="F49:K49" si="24">SUM(F43:F48)</f>
        <v>0</v>
      </c>
      <c r="G49" s="110">
        <f t="shared" si="24"/>
        <v>0</v>
      </c>
      <c r="H49" s="110">
        <f t="shared" si="24"/>
        <v>0</v>
      </c>
      <c r="I49" s="110">
        <f t="shared" si="24"/>
        <v>0</v>
      </c>
      <c r="J49" s="110">
        <f t="shared" si="24"/>
        <v>0</v>
      </c>
      <c r="K49" s="110">
        <f t="shared" si="24"/>
        <v>0</v>
      </c>
    </row>
    <row r="50" spans="1:12" x14ac:dyDescent="0.2">
      <c r="A50" s="92"/>
      <c r="B50" s="92"/>
      <c r="C50" s="224"/>
      <c r="D50" s="224"/>
      <c r="E50" s="110"/>
      <c r="F50" s="110"/>
      <c r="G50" s="110"/>
      <c r="H50" s="110"/>
      <c r="I50" s="110"/>
      <c r="J50" s="110"/>
      <c r="K50" s="110"/>
    </row>
    <row r="51" spans="1:12" x14ac:dyDescent="0.2">
      <c r="A51" s="190" t="s">
        <v>312</v>
      </c>
      <c r="B51" s="190"/>
      <c r="C51" s="234"/>
      <c r="D51" s="234"/>
      <c r="E51" s="91"/>
      <c r="F51" s="91"/>
      <c r="G51" s="91"/>
      <c r="H51" s="91"/>
      <c r="I51" s="91"/>
      <c r="J51" s="91"/>
      <c r="K51" s="91"/>
    </row>
    <row r="52" spans="1:12" x14ac:dyDescent="0.2">
      <c r="A52" s="104" t="s">
        <v>313</v>
      </c>
      <c r="B52" s="90" t="s">
        <v>392</v>
      </c>
      <c r="C52" s="234">
        <v>0</v>
      </c>
      <c r="D52" s="235">
        <v>15000</v>
      </c>
      <c r="E52" s="91">
        <f t="shared" ref="E52:K52" si="25">$C$52*$D$52*12*E23</f>
        <v>0</v>
      </c>
      <c r="F52" s="91">
        <f t="shared" si="25"/>
        <v>0</v>
      </c>
      <c r="G52" s="91">
        <f t="shared" si="25"/>
        <v>0</v>
      </c>
      <c r="H52" s="91">
        <f t="shared" si="25"/>
        <v>0</v>
      </c>
      <c r="I52" s="91">
        <f t="shared" si="25"/>
        <v>0</v>
      </c>
      <c r="J52" s="91">
        <f t="shared" si="25"/>
        <v>0</v>
      </c>
      <c r="K52" s="91">
        <f t="shared" si="25"/>
        <v>0</v>
      </c>
    </row>
    <row r="53" spans="1:12" x14ac:dyDescent="0.2">
      <c r="A53" s="90" t="s">
        <v>714</v>
      </c>
      <c r="B53" s="104"/>
      <c r="C53" s="234"/>
      <c r="D53" s="235"/>
      <c r="E53" s="91">
        <f>'2.Capex Details'!$G$32*0.02</f>
        <v>0</v>
      </c>
      <c r="F53" s="91">
        <f>'2.Capex Details'!$G$32*0.02</f>
        <v>0</v>
      </c>
      <c r="G53" s="91">
        <f>'2.Capex Details'!$G$32*0.03</f>
        <v>0</v>
      </c>
      <c r="H53" s="91">
        <f>'2.Capex Details'!$G$32*0.03</f>
        <v>0</v>
      </c>
      <c r="I53" s="91">
        <f>'2.Capex Details'!$G$32*0.04</f>
        <v>0</v>
      </c>
      <c r="J53" s="91">
        <f>'2.Capex Details'!$G$32*0.04</f>
        <v>0</v>
      </c>
      <c r="K53" s="91">
        <f>'2.Capex Details'!$G$32*0.05</f>
        <v>0</v>
      </c>
    </row>
    <row r="54" spans="1:12" x14ac:dyDescent="0.2">
      <c r="A54" s="104" t="s">
        <v>715</v>
      </c>
      <c r="B54" s="104"/>
      <c r="C54" s="234"/>
      <c r="D54" s="235"/>
      <c r="E54" s="91">
        <f>'2.Capex Details'!$G$32*0.05</f>
        <v>0</v>
      </c>
      <c r="F54" s="91">
        <f>'2.Capex Details'!$G$32*0.04</f>
        <v>0</v>
      </c>
      <c r="G54" s="91">
        <f>'2.Capex Details'!$G$32*0.04</f>
        <v>0</v>
      </c>
      <c r="H54" s="91">
        <f>'2.Capex Details'!$G$32*0.03</f>
        <v>0</v>
      </c>
      <c r="I54" s="91">
        <f>'2.Capex Details'!$G$32*0.03</f>
        <v>0</v>
      </c>
      <c r="J54" s="91">
        <f>'2.Capex Details'!$G$32*0.02</f>
        <v>0</v>
      </c>
      <c r="K54" s="91">
        <f>'2.Capex Details'!$G$32*0.02</f>
        <v>0</v>
      </c>
    </row>
    <row r="55" spans="1:12" x14ac:dyDescent="0.2">
      <c r="A55" s="104"/>
      <c r="B55" s="104"/>
      <c r="C55" s="234"/>
      <c r="D55" s="235"/>
      <c r="E55" s="91"/>
      <c r="F55" s="91"/>
      <c r="G55" s="91"/>
      <c r="H55" s="91"/>
      <c r="I55" s="91"/>
      <c r="J55" s="91"/>
      <c r="K55" s="91"/>
    </row>
    <row r="56" spans="1:12" x14ac:dyDescent="0.2">
      <c r="A56" s="92" t="s">
        <v>329</v>
      </c>
      <c r="B56" s="92"/>
      <c r="C56" s="92"/>
      <c r="D56" s="92"/>
      <c r="E56" s="110">
        <f>SUM(E52:E55)</f>
        <v>0</v>
      </c>
      <c r="F56" s="110">
        <f t="shared" ref="F56:K56" si="26">SUM(F52:F55)</f>
        <v>0</v>
      </c>
      <c r="G56" s="110">
        <f t="shared" si="26"/>
        <v>0</v>
      </c>
      <c r="H56" s="110">
        <f t="shared" si="26"/>
        <v>0</v>
      </c>
      <c r="I56" s="110">
        <f t="shared" si="26"/>
        <v>0</v>
      </c>
      <c r="J56" s="110">
        <f t="shared" si="26"/>
        <v>0</v>
      </c>
      <c r="K56" s="110">
        <f t="shared" si="26"/>
        <v>0</v>
      </c>
    </row>
    <row r="57" spans="1:12" x14ac:dyDescent="0.2">
      <c r="A57" s="92" t="s">
        <v>129</v>
      </c>
      <c r="B57" s="92"/>
      <c r="C57" s="92"/>
      <c r="D57" s="92"/>
      <c r="E57" s="110">
        <f>E49+E56</f>
        <v>0</v>
      </c>
      <c r="F57" s="110">
        <f t="shared" ref="F57:K57" si="27">F49+F56</f>
        <v>0</v>
      </c>
      <c r="G57" s="110">
        <f t="shared" si="27"/>
        <v>0</v>
      </c>
      <c r="H57" s="110">
        <f t="shared" si="27"/>
        <v>0</v>
      </c>
      <c r="I57" s="110">
        <f t="shared" si="27"/>
        <v>0</v>
      </c>
      <c r="J57" s="110">
        <f t="shared" si="27"/>
        <v>0</v>
      </c>
      <c r="K57" s="110">
        <f t="shared" si="27"/>
        <v>0</v>
      </c>
    </row>
    <row r="58" spans="1:12" x14ac:dyDescent="0.2">
      <c r="A58" s="90"/>
      <c r="B58" s="90"/>
      <c r="C58" s="90"/>
      <c r="D58" s="90"/>
      <c r="E58" s="91"/>
      <c r="F58" s="91"/>
      <c r="G58" s="91"/>
      <c r="H58" s="91"/>
      <c r="I58" s="91"/>
      <c r="J58" s="91"/>
      <c r="K58" s="91"/>
    </row>
    <row r="59" spans="1:12" x14ac:dyDescent="0.2">
      <c r="A59" s="92" t="s">
        <v>316</v>
      </c>
      <c r="B59" s="92"/>
      <c r="C59" s="92"/>
      <c r="D59" s="92"/>
      <c r="E59" s="110">
        <f t="shared" ref="E59:K59" si="28">E39-E57</f>
        <v>0</v>
      </c>
      <c r="F59" s="110">
        <f t="shared" si="28"/>
        <v>0</v>
      </c>
      <c r="G59" s="110">
        <f t="shared" si="28"/>
        <v>0</v>
      </c>
      <c r="H59" s="110">
        <f t="shared" si="28"/>
        <v>0</v>
      </c>
      <c r="I59" s="110">
        <f t="shared" si="28"/>
        <v>0</v>
      </c>
      <c r="J59" s="110">
        <f t="shared" si="28"/>
        <v>0</v>
      </c>
      <c r="K59" s="110">
        <f t="shared" si="28"/>
        <v>0</v>
      </c>
    </row>
    <row r="60" spans="1:12" x14ac:dyDescent="0.2">
      <c r="A60" s="244"/>
      <c r="B60" s="244"/>
      <c r="C60" s="244"/>
      <c r="D60" s="244"/>
      <c r="E60" s="245"/>
      <c r="F60" s="245"/>
      <c r="G60" s="245"/>
      <c r="H60" s="245"/>
      <c r="I60" s="245"/>
      <c r="J60" s="245"/>
      <c r="K60" s="245"/>
    </row>
    <row r="61" spans="1:12" x14ac:dyDescent="0.2">
      <c r="A61" s="89"/>
      <c r="B61" s="89"/>
      <c r="C61" s="244"/>
      <c r="D61" s="244"/>
      <c r="E61" s="245"/>
      <c r="F61" s="245"/>
      <c r="G61" s="245"/>
      <c r="H61" s="245"/>
      <c r="I61" s="245"/>
      <c r="J61" s="245"/>
      <c r="K61" s="245"/>
    </row>
    <row r="62" spans="1:12" x14ac:dyDescent="0.2">
      <c r="A62" s="452" t="s">
        <v>423</v>
      </c>
      <c r="B62" s="452"/>
      <c r="C62" s="452"/>
      <c r="D62" s="452"/>
      <c r="E62" s="452"/>
      <c r="F62" s="452"/>
      <c r="G62" s="452"/>
      <c r="H62" s="452"/>
      <c r="I62" s="452"/>
      <c r="J62" s="452"/>
      <c r="K62" s="452"/>
      <c r="L62" s="452"/>
    </row>
    <row r="65" spans="1:2" x14ac:dyDescent="0.2">
      <c r="A65" t="s">
        <v>538</v>
      </c>
    </row>
    <row r="66" spans="1:2" x14ac:dyDescent="0.2">
      <c r="A66">
        <v>1</v>
      </c>
      <c r="B66" t="s">
        <v>547</v>
      </c>
    </row>
    <row r="67" spans="1:2" x14ac:dyDescent="0.2">
      <c r="A67">
        <v>2</v>
      </c>
      <c r="B67" t="s">
        <v>548</v>
      </c>
    </row>
    <row r="68" spans="1:2" x14ac:dyDescent="0.2">
      <c r="A68">
        <v>3</v>
      </c>
      <c r="B68" s="89" t="s">
        <v>599</v>
      </c>
    </row>
  </sheetData>
  <mergeCells count="4">
    <mergeCell ref="A21:K21"/>
    <mergeCell ref="A3:L3"/>
    <mergeCell ref="A62:L62"/>
    <mergeCell ref="A4:L4"/>
  </mergeCells>
  <pageMargins left="0.7" right="0.7" top="0.75" bottom="0.75" header="0.3" footer="0.3"/>
  <pageSetup paperSize="9" scale="42" orientation="portrait" r:id="rId1"/>
  <colBreaks count="1" manualBreakCount="1">
    <brk id="13" max="61" man="1"/>
  </col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2:W284"/>
  <sheetViews>
    <sheetView view="pageBreakPreview" topLeftCell="A243" zoomScale="106" zoomScaleSheetLayoutView="106" workbookViewId="0">
      <selection activeCell="I29" sqref="I29"/>
    </sheetView>
  </sheetViews>
  <sheetFormatPr defaultRowHeight="15" x14ac:dyDescent="0.2"/>
  <cols>
    <col min="1" max="1" width="41.1640625" bestFit="1" customWidth="1"/>
    <col min="2" max="2" width="4.4375" bestFit="1" customWidth="1"/>
    <col min="3" max="3" width="12.9140625" bestFit="1" customWidth="1"/>
    <col min="4" max="4" width="15.6015625" customWidth="1"/>
    <col min="5" max="5" width="19.37109375" bestFit="1" customWidth="1"/>
    <col min="6" max="6" width="14.66015625" customWidth="1"/>
    <col min="7" max="7" width="18.0234375" customWidth="1"/>
    <col min="8" max="8" width="15.19921875" customWidth="1"/>
    <col min="9" max="9" width="19.37109375" bestFit="1" customWidth="1"/>
    <col min="10" max="10" width="16.41015625" bestFit="1" customWidth="1"/>
    <col min="12" max="12" width="27.171875" bestFit="1" customWidth="1"/>
    <col min="18" max="20" width="9.4140625" bestFit="1" customWidth="1"/>
    <col min="22" max="22" width="9.4140625" bestFit="1" customWidth="1"/>
  </cols>
  <sheetData>
    <row r="2" spans="1:12" ht="18" x14ac:dyDescent="0.2">
      <c r="A2" s="451" t="s">
        <v>592</v>
      </c>
      <c r="B2" s="451"/>
      <c r="C2" s="451"/>
      <c r="D2" s="451"/>
      <c r="E2" s="451"/>
      <c r="F2" s="451"/>
      <c r="G2" s="451"/>
      <c r="H2" s="451"/>
      <c r="I2" s="451"/>
    </row>
    <row r="4" spans="1:12" x14ac:dyDescent="0.2">
      <c r="A4" s="89"/>
      <c r="B4" s="89"/>
      <c r="C4" s="89"/>
      <c r="D4" s="89"/>
      <c r="E4" s="89"/>
      <c r="F4" s="89"/>
      <c r="G4" s="89"/>
      <c r="H4" s="89"/>
      <c r="I4" s="89"/>
    </row>
    <row r="5" spans="1:12" x14ac:dyDescent="0.2">
      <c r="A5" s="89"/>
      <c r="B5" s="89"/>
      <c r="C5" s="89"/>
      <c r="D5" s="89"/>
      <c r="E5" s="89"/>
      <c r="F5" s="89"/>
      <c r="G5" s="89"/>
      <c r="H5" s="89"/>
      <c r="I5" s="89"/>
    </row>
    <row r="6" spans="1:12" x14ac:dyDescent="0.2">
      <c r="A6" s="143" t="s">
        <v>127</v>
      </c>
      <c r="B6" s="143"/>
      <c r="C6" s="115" t="s">
        <v>2</v>
      </c>
      <c r="D6" s="115" t="s">
        <v>3</v>
      </c>
      <c r="E6" s="115" t="s">
        <v>4</v>
      </c>
      <c r="F6" s="115" t="s">
        <v>5</v>
      </c>
      <c r="G6" s="115" t="s">
        <v>6</v>
      </c>
      <c r="H6" s="115" t="s">
        <v>170</v>
      </c>
      <c r="I6" s="115" t="s">
        <v>169</v>
      </c>
    </row>
    <row r="7" spans="1:12" x14ac:dyDescent="0.2">
      <c r="A7" s="96" t="s">
        <v>550</v>
      </c>
      <c r="B7" s="94"/>
      <c r="C7" s="94"/>
      <c r="D7" s="94"/>
      <c r="E7" s="94"/>
      <c r="F7" s="94"/>
      <c r="G7" s="94"/>
      <c r="H7" s="94"/>
      <c r="I7" s="94"/>
    </row>
    <row r="8" spans="1:12" x14ac:dyDescent="0.2">
      <c r="A8" s="96" t="s">
        <v>179</v>
      </c>
      <c r="B8" s="199"/>
      <c r="C8" s="233"/>
      <c r="D8" s="233"/>
      <c r="E8" s="233"/>
      <c r="F8" s="233"/>
      <c r="G8" s="233"/>
      <c r="H8" s="233"/>
      <c r="I8" s="233"/>
    </row>
    <row r="9" spans="1:12" x14ac:dyDescent="0.2">
      <c r="A9" s="94" t="str">
        <f>'10.Grain Production details'!A92</f>
        <v>Soybean</v>
      </c>
      <c r="B9" s="199"/>
      <c r="C9" s="233">
        <f>'10.Grain Production details'!B92*$L$9</f>
        <v>357.8</v>
      </c>
      <c r="D9" s="233">
        <f>'10.Grain Production details'!C92*$L$9</f>
        <v>402.52500000000003</v>
      </c>
      <c r="E9" s="233">
        <f>'10.Grain Production details'!D92*$L$9</f>
        <v>447.25</v>
      </c>
      <c r="F9" s="233">
        <f>'10.Grain Production details'!E92*$L$9</f>
        <v>491.97500000000002</v>
      </c>
      <c r="G9" s="233">
        <f>'10.Grain Production details'!F92*$L$9</f>
        <v>536.70000000000005</v>
      </c>
      <c r="H9" s="233">
        <f>'10.Grain Production details'!G92*$L$9</f>
        <v>581.42500000000007</v>
      </c>
      <c r="I9" s="233">
        <f>'10.Grain Production details'!H92*$L$9</f>
        <v>626.15000000000009</v>
      </c>
      <c r="L9">
        <v>1</v>
      </c>
    </row>
    <row r="10" spans="1:12" x14ac:dyDescent="0.2">
      <c r="A10" s="94" t="str">
        <f>'10.Grain Production details'!A93</f>
        <v>Red Gram/Tur</v>
      </c>
      <c r="B10" s="199"/>
      <c r="C10" s="233">
        <f>'10.Grain Production details'!B93*$L$9</f>
        <v>894.5</v>
      </c>
      <c r="D10" s="233">
        <f>'10.Grain Production details'!C93*$L$9</f>
        <v>1006.3125</v>
      </c>
      <c r="E10" s="233">
        <f>'10.Grain Production details'!D93*$L$9</f>
        <v>1118.125</v>
      </c>
      <c r="F10" s="233">
        <f>'10.Grain Production details'!E93*$L$9</f>
        <v>1229.9375</v>
      </c>
      <c r="G10" s="233">
        <f>'10.Grain Production details'!F93*$L$9</f>
        <v>1341.7500000000002</v>
      </c>
      <c r="H10" s="233">
        <f>'10.Grain Production details'!G93*$L$9</f>
        <v>1453.5625000000002</v>
      </c>
      <c r="I10" s="233">
        <f>'10.Grain Production details'!H93*$L$9</f>
        <v>1565.3750000000005</v>
      </c>
    </row>
    <row r="11" spans="1:12" x14ac:dyDescent="0.2">
      <c r="A11" s="94" t="str">
        <f>'10.Grain Production details'!A94</f>
        <v>Paddy/Rice</v>
      </c>
      <c r="B11" s="199"/>
      <c r="C11" s="233">
        <f>'10.Grain Production details'!B94*$L$9</f>
        <v>0</v>
      </c>
      <c r="D11" s="233">
        <f>'10.Grain Production details'!C94*$L$9</f>
        <v>0</v>
      </c>
      <c r="E11" s="233">
        <f>'10.Grain Production details'!D94*$L$9</f>
        <v>0</v>
      </c>
      <c r="F11" s="233">
        <f>'10.Grain Production details'!E94*$L$9</f>
        <v>0</v>
      </c>
      <c r="G11" s="233">
        <f>'10.Grain Production details'!F94*$L$9</f>
        <v>0</v>
      </c>
      <c r="H11" s="233">
        <f>'10.Grain Production details'!G94*$L$9</f>
        <v>0</v>
      </c>
      <c r="I11" s="233">
        <f>'10.Grain Production details'!H94*$L$9</f>
        <v>0</v>
      </c>
    </row>
    <row r="12" spans="1:12" x14ac:dyDescent="0.2">
      <c r="A12" s="94" t="str">
        <f>'10.Grain Production details'!A95</f>
        <v>Green Gram/ Moong</v>
      </c>
      <c r="B12" s="199"/>
      <c r="C12" s="233">
        <f>'10.Grain Production details'!B95*$L$9</f>
        <v>447.25</v>
      </c>
      <c r="D12" s="233">
        <f>'10.Grain Production details'!C95*$L$9</f>
        <v>503.15625</v>
      </c>
      <c r="E12" s="233">
        <f>'10.Grain Production details'!D95*$L$9</f>
        <v>559.0625</v>
      </c>
      <c r="F12" s="233">
        <f>'10.Grain Production details'!E95*$L$9</f>
        <v>614.96875</v>
      </c>
      <c r="G12" s="233">
        <f>'10.Grain Production details'!F95*$L$9</f>
        <v>670.87500000000011</v>
      </c>
      <c r="H12" s="233">
        <f>'10.Grain Production details'!G95*$L$9</f>
        <v>726.78125000000011</v>
      </c>
      <c r="I12" s="233">
        <f>'10.Grain Production details'!H95*$L$9</f>
        <v>782.68750000000023</v>
      </c>
    </row>
    <row r="13" spans="1:12" x14ac:dyDescent="0.2">
      <c r="A13" s="94" t="str">
        <f>'10.Grain Production details'!A96</f>
        <v>Maize</v>
      </c>
      <c r="B13" s="199"/>
      <c r="C13" s="233">
        <f>'10.Grain Production details'!B96*$L$9</f>
        <v>0</v>
      </c>
      <c r="D13" s="233">
        <f>'10.Grain Production details'!C96*$L$9</f>
        <v>0</v>
      </c>
      <c r="E13" s="233">
        <f>'10.Grain Production details'!D96*$L$9</f>
        <v>0</v>
      </c>
      <c r="F13" s="233">
        <f>'10.Grain Production details'!E96*$L$9</f>
        <v>0</v>
      </c>
      <c r="G13" s="233">
        <f>'10.Grain Production details'!F96*$L$9</f>
        <v>0</v>
      </c>
      <c r="H13" s="233">
        <f>'10.Grain Production details'!G96*$L$9</f>
        <v>0</v>
      </c>
      <c r="I13" s="233">
        <f>'10.Grain Production details'!H96*$L$9</f>
        <v>0</v>
      </c>
    </row>
    <row r="14" spans="1:12" x14ac:dyDescent="0.2">
      <c r="A14" s="94" t="str">
        <f>'10.Grain Production details'!A97</f>
        <v>Black Gram/Udid</v>
      </c>
      <c r="B14" s="199"/>
      <c r="C14" s="233">
        <f>'10.Grain Production details'!B97*$L$9</f>
        <v>35.78</v>
      </c>
      <c r="D14" s="233">
        <f>'10.Grain Production details'!C97*$L$9</f>
        <v>40.252500000000005</v>
      </c>
      <c r="E14" s="233">
        <f>'10.Grain Production details'!D97*$L$9</f>
        <v>44.725000000000001</v>
      </c>
      <c r="F14" s="233">
        <f>'10.Grain Production details'!E97*$L$9</f>
        <v>49.197500000000005</v>
      </c>
      <c r="G14" s="233">
        <f>'10.Grain Production details'!F97*$L$9</f>
        <v>53.670000000000009</v>
      </c>
      <c r="H14" s="233">
        <f>'10.Grain Production details'!G97*$L$9</f>
        <v>58.142500000000013</v>
      </c>
      <c r="I14" s="233">
        <f>'10.Grain Production details'!H97*$L$9</f>
        <v>62.615000000000016</v>
      </c>
    </row>
    <row r="15" spans="1:12" x14ac:dyDescent="0.2">
      <c r="A15" s="94" t="str">
        <f>'10.Grain Production details'!A98</f>
        <v>Bajra</v>
      </c>
      <c r="B15" s="199"/>
      <c r="C15" s="233">
        <f>'10.Grain Production details'!B98*$L$9</f>
        <v>35.78</v>
      </c>
      <c r="D15" s="233">
        <f>'10.Grain Production details'!C98*$L$9</f>
        <v>40.252500000000005</v>
      </c>
      <c r="E15" s="233">
        <f>'10.Grain Production details'!D98*$L$9</f>
        <v>44.725000000000001</v>
      </c>
      <c r="F15" s="233">
        <f>'10.Grain Production details'!E98*$L$9</f>
        <v>49.197500000000005</v>
      </c>
      <c r="G15" s="233">
        <f>'10.Grain Production details'!F98*$L$9</f>
        <v>53.670000000000009</v>
      </c>
      <c r="H15" s="233">
        <f>'10.Grain Production details'!G98*$L$9</f>
        <v>58.142500000000013</v>
      </c>
      <c r="I15" s="233">
        <f>'10.Grain Production details'!H98*$L$9</f>
        <v>62.615000000000016</v>
      </c>
    </row>
    <row r="16" spans="1:12" x14ac:dyDescent="0.2">
      <c r="A16" s="94" t="str">
        <f>'10.Grain Production details'!A99</f>
        <v>Jawar</v>
      </c>
      <c r="B16" s="199"/>
      <c r="C16" s="233">
        <f>'10.Grain Production details'!B99*$L$9</f>
        <v>0</v>
      </c>
      <c r="D16" s="233">
        <f>'10.Grain Production details'!C99*$L$9</f>
        <v>0</v>
      </c>
      <c r="E16" s="233">
        <f>'10.Grain Production details'!D99*$L$9</f>
        <v>0</v>
      </c>
      <c r="F16" s="233">
        <f>'10.Grain Production details'!E99*$L$9</f>
        <v>0</v>
      </c>
      <c r="G16" s="233">
        <f>'10.Grain Production details'!F99*$L$9</f>
        <v>0</v>
      </c>
      <c r="H16" s="233">
        <f>'10.Grain Production details'!G99*$L$9</f>
        <v>0</v>
      </c>
      <c r="I16" s="233">
        <f>'10.Grain Production details'!H99*$L$9</f>
        <v>0</v>
      </c>
    </row>
    <row r="17" spans="1:9" x14ac:dyDescent="0.2">
      <c r="A17" s="96" t="s">
        <v>183</v>
      </c>
      <c r="B17" s="199"/>
      <c r="C17" s="233">
        <f>'10.Grain Production details'!B100*$L$9</f>
        <v>17.89</v>
      </c>
      <c r="D17" s="233"/>
      <c r="E17" s="233"/>
      <c r="F17" s="233"/>
      <c r="G17" s="233"/>
      <c r="H17" s="233"/>
      <c r="I17" s="233"/>
    </row>
    <row r="18" spans="1:9" x14ac:dyDescent="0.2">
      <c r="A18" s="94" t="str">
        <f>'10.Grain Production details'!A101</f>
        <v>Wheat</v>
      </c>
      <c r="B18" s="199"/>
      <c r="C18" s="233">
        <f>'10.Grain Production details'!B101*$L$9</f>
        <v>357.8</v>
      </c>
      <c r="D18" s="233">
        <f>'10.Grain Production details'!C101</f>
        <v>402.52500000000003</v>
      </c>
      <c r="E18" s="233">
        <f>'10.Grain Production details'!D101</f>
        <v>447.25</v>
      </c>
      <c r="F18" s="233">
        <f>'10.Grain Production details'!E101</f>
        <v>491.97500000000002</v>
      </c>
      <c r="G18" s="233">
        <f>'10.Grain Production details'!F101</f>
        <v>536.70000000000005</v>
      </c>
      <c r="H18" s="233">
        <f>'10.Grain Production details'!G101</f>
        <v>581.42500000000007</v>
      </c>
      <c r="I18" s="233">
        <f>'10.Grain Production details'!H101</f>
        <v>626.15000000000009</v>
      </c>
    </row>
    <row r="19" spans="1:9" x14ac:dyDescent="0.2">
      <c r="A19" s="94" t="str">
        <f>'10.Grain Production details'!A102</f>
        <v>Bengal Gram/Channa</v>
      </c>
      <c r="B19" s="199"/>
      <c r="C19" s="233">
        <f>'10.Grain Production details'!B102*$L$9</f>
        <v>715.6</v>
      </c>
      <c r="D19" s="233">
        <f>'10.Grain Production details'!C102*$L$9</f>
        <v>805.05000000000007</v>
      </c>
      <c r="E19" s="233">
        <f>'10.Grain Production details'!D102*$L$9</f>
        <v>894.5</v>
      </c>
      <c r="F19" s="233">
        <f>'10.Grain Production details'!E102*$L$9</f>
        <v>983.95</v>
      </c>
      <c r="G19" s="233">
        <f>'10.Grain Production details'!F102*$L$9</f>
        <v>1073.4000000000001</v>
      </c>
      <c r="H19" s="233">
        <f>'10.Grain Production details'!G102*$L$9</f>
        <v>1162.8500000000001</v>
      </c>
      <c r="I19" s="233">
        <f>'10.Grain Production details'!H102*$L$9</f>
        <v>1252.3000000000002</v>
      </c>
    </row>
    <row r="20" spans="1:9" x14ac:dyDescent="0.2">
      <c r="A20" s="94" t="str">
        <f>'10.Grain Production details'!A103</f>
        <v>Jawar</v>
      </c>
      <c r="B20" s="199"/>
      <c r="C20" s="233">
        <f>'10.Grain Production details'!B103*$L$9</f>
        <v>357.8</v>
      </c>
      <c r="D20" s="233">
        <f>'10.Grain Production details'!C103*$L$9</f>
        <v>402.52500000000003</v>
      </c>
      <c r="E20" s="233">
        <f>'10.Grain Production details'!D103*$L$9</f>
        <v>447.25</v>
      </c>
      <c r="F20" s="233">
        <f>'10.Grain Production details'!E103*$L$9</f>
        <v>491.97500000000002</v>
      </c>
      <c r="G20" s="233">
        <f>'10.Grain Production details'!F103*$L$9</f>
        <v>536.70000000000005</v>
      </c>
      <c r="H20" s="233">
        <f>'10.Grain Production details'!G103*$L$9</f>
        <v>581.42500000000007</v>
      </c>
      <c r="I20" s="233">
        <f>'10.Grain Production details'!H103*$L$9</f>
        <v>626.15000000000009</v>
      </c>
    </row>
    <row r="21" spans="1:9" x14ac:dyDescent="0.2">
      <c r="A21" s="94" t="str">
        <f>'10.Grain Production details'!A104</f>
        <v>Maize</v>
      </c>
      <c r="B21" s="199"/>
      <c r="C21" s="233">
        <f>'10.Grain Production details'!B104*$L$9</f>
        <v>35.78</v>
      </c>
      <c r="D21" s="233">
        <f>'10.Grain Production details'!C104*$L$9</f>
        <v>40.252500000000005</v>
      </c>
      <c r="E21" s="233">
        <f>'10.Grain Production details'!D104*$L$9</f>
        <v>44.725000000000001</v>
      </c>
      <c r="F21" s="233">
        <f>'10.Grain Production details'!E104*$L$9</f>
        <v>49.197500000000005</v>
      </c>
      <c r="G21" s="233">
        <f>'10.Grain Production details'!F104*$L$9</f>
        <v>53.670000000000009</v>
      </c>
      <c r="H21" s="233">
        <f>'10.Grain Production details'!G104*$L$9</f>
        <v>58.142500000000013</v>
      </c>
      <c r="I21" s="233">
        <f>'10.Grain Production details'!H104*$L$9</f>
        <v>62.615000000000016</v>
      </c>
    </row>
    <row r="22" spans="1:9" x14ac:dyDescent="0.2">
      <c r="A22" s="94" t="str">
        <f>'10.Grain Production details'!A105</f>
        <v>Safflower</v>
      </c>
      <c r="B22" s="199"/>
      <c r="C22" s="233">
        <f>'10.Grain Production details'!B105*$L$9</f>
        <v>0</v>
      </c>
      <c r="D22" s="233">
        <f>'10.Grain Production details'!C105*$L$9</f>
        <v>0</v>
      </c>
      <c r="E22" s="233">
        <f>'10.Grain Production details'!D105*$L$9</f>
        <v>0</v>
      </c>
      <c r="F22" s="233">
        <f>'10.Grain Production details'!E105*$L$9</f>
        <v>0</v>
      </c>
      <c r="G22" s="233">
        <f>'10.Grain Production details'!F105*$L$9</f>
        <v>0</v>
      </c>
      <c r="H22" s="233">
        <f>'11.F&amp;V Crop Production details'!H83</f>
        <v>0</v>
      </c>
      <c r="I22" s="233">
        <f>'10.Grain Production details'!H105*$L$9</f>
        <v>0</v>
      </c>
    </row>
    <row r="23" spans="1:9" x14ac:dyDescent="0.2">
      <c r="A23" s="94">
        <f>'10.Grain Production details'!A106</f>
        <v>0</v>
      </c>
      <c r="B23" s="199"/>
      <c r="C23" s="233">
        <f>'10.Grain Production details'!B106</f>
        <v>0</v>
      </c>
      <c r="D23" s="233">
        <f>'10.Grain Production details'!C106</f>
        <v>0</v>
      </c>
      <c r="E23" s="233">
        <f>'10.Grain Production details'!D106</f>
        <v>0</v>
      </c>
      <c r="F23" s="233">
        <f>'10.Grain Production details'!E106</f>
        <v>0</v>
      </c>
      <c r="G23" s="233">
        <f>'10.Grain Production details'!F106</f>
        <v>0</v>
      </c>
      <c r="H23" s="233">
        <f>'10.Grain Production details'!G106</f>
        <v>0</v>
      </c>
      <c r="I23" s="233">
        <f>'10.Grain Production details'!H106</f>
        <v>0</v>
      </c>
    </row>
    <row r="24" spans="1:9" x14ac:dyDescent="0.2">
      <c r="A24" s="94">
        <f>'10.Grain Production details'!A107</f>
        <v>0</v>
      </c>
      <c r="B24" s="199"/>
      <c r="C24" s="233">
        <f>'10.Grain Production details'!B107</f>
        <v>0</v>
      </c>
      <c r="D24" s="233">
        <f>'10.Grain Production details'!C107</f>
        <v>0</v>
      </c>
      <c r="E24" s="233">
        <f>'10.Grain Production details'!D107</f>
        <v>0</v>
      </c>
      <c r="F24" s="233">
        <f>'10.Grain Production details'!E107</f>
        <v>0</v>
      </c>
      <c r="G24" s="233">
        <f>'10.Grain Production details'!F107</f>
        <v>0</v>
      </c>
      <c r="H24" s="233">
        <f>'10.Grain Production details'!G107</f>
        <v>0</v>
      </c>
      <c r="I24" s="233">
        <f>'10.Grain Production details'!H107</f>
        <v>0</v>
      </c>
    </row>
    <row r="25" spans="1:9" x14ac:dyDescent="0.2">
      <c r="A25" s="94">
        <f>'10.Grain Production details'!A108</f>
        <v>0</v>
      </c>
      <c r="B25" s="199"/>
      <c r="C25" s="233">
        <f>'10.Grain Production details'!B108</f>
        <v>0</v>
      </c>
      <c r="D25" s="233">
        <f>'10.Grain Production details'!C108</f>
        <v>0</v>
      </c>
      <c r="E25" s="233">
        <f>'10.Grain Production details'!D108</f>
        <v>0</v>
      </c>
      <c r="F25" s="233">
        <f>'10.Grain Production details'!E108</f>
        <v>0</v>
      </c>
      <c r="G25" s="233">
        <f>'10.Grain Production details'!F108</f>
        <v>0</v>
      </c>
      <c r="H25" s="233">
        <f>'10.Grain Production details'!G108</f>
        <v>0</v>
      </c>
      <c r="I25" s="233">
        <f>'10.Grain Production details'!H108</f>
        <v>0</v>
      </c>
    </row>
    <row r="26" spans="1:9" x14ac:dyDescent="0.2">
      <c r="A26" s="96" t="str">
        <f>'10.Grain Production details'!A33</f>
        <v>Summer</v>
      </c>
      <c r="B26" s="199"/>
      <c r="C26" s="233"/>
      <c r="D26" s="233"/>
      <c r="E26" s="233"/>
      <c r="F26" s="233"/>
      <c r="G26" s="233"/>
      <c r="H26" s="233"/>
      <c r="I26" s="233"/>
    </row>
    <row r="27" spans="1:9" x14ac:dyDescent="0.2">
      <c r="A27" s="94" t="str">
        <f>'10.Grain Production details'!A109</f>
        <v>Groundnut</v>
      </c>
      <c r="B27" s="199"/>
      <c r="C27" s="233">
        <f>'10.Grain Production details'!B110</f>
        <v>0</v>
      </c>
      <c r="D27" s="233">
        <f>'10.Grain Production details'!C110</f>
        <v>0</v>
      </c>
      <c r="E27" s="233">
        <f>'10.Grain Production details'!D110</f>
        <v>0</v>
      </c>
      <c r="F27" s="233">
        <f>'10.Grain Production details'!E110</f>
        <v>0</v>
      </c>
      <c r="G27" s="233">
        <f>'10.Grain Production details'!F110</f>
        <v>0</v>
      </c>
      <c r="H27" s="233">
        <f>'10.Grain Production details'!G110</f>
        <v>0</v>
      </c>
      <c r="I27" s="233">
        <f>'10.Grain Production details'!H110</f>
        <v>0</v>
      </c>
    </row>
    <row r="28" spans="1:9" x14ac:dyDescent="0.2">
      <c r="A28" s="94">
        <f>'10.Grain Production details'!A110</f>
        <v>0</v>
      </c>
      <c r="B28" s="199"/>
      <c r="C28" s="233">
        <f>'10.Grain Production details'!B111</f>
        <v>0</v>
      </c>
      <c r="D28" s="233">
        <f>'10.Grain Production details'!C111</f>
        <v>0</v>
      </c>
      <c r="E28" s="233">
        <f>'10.Grain Production details'!D111</f>
        <v>0</v>
      </c>
      <c r="F28" s="233">
        <f>'10.Grain Production details'!E111</f>
        <v>0</v>
      </c>
      <c r="G28" s="233">
        <f>'10.Grain Production details'!F111</f>
        <v>0</v>
      </c>
      <c r="H28" s="233">
        <f>'10.Grain Production details'!G111</f>
        <v>0</v>
      </c>
      <c r="I28" s="233">
        <f>'10.Grain Production details'!H111</f>
        <v>0</v>
      </c>
    </row>
    <row r="29" spans="1:9" x14ac:dyDescent="0.2">
      <c r="A29" s="94">
        <f>'10.Grain Production details'!A111</f>
        <v>0</v>
      </c>
      <c r="B29" s="199"/>
      <c r="C29" s="233">
        <f>'10.Grain Production details'!B112</f>
        <v>0</v>
      </c>
      <c r="D29" s="233">
        <f>'10.Grain Production details'!C112</f>
        <v>0</v>
      </c>
      <c r="E29" s="233">
        <f>'10.Grain Production details'!D112</f>
        <v>0</v>
      </c>
      <c r="F29" s="233">
        <f>'10.Grain Production details'!E112</f>
        <v>0</v>
      </c>
      <c r="G29" s="233">
        <f>'10.Grain Production details'!F112</f>
        <v>0</v>
      </c>
      <c r="H29" s="233">
        <f>'10.Grain Production details'!G112</f>
        <v>0</v>
      </c>
      <c r="I29" s="233">
        <f>'10.Grain Production details'!H112</f>
        <v>0</v>
      </c>
    </row>
    <row r="30" spans="1:9" x14ac:dyDescent="0.2">
      <c r="A30" s="94">
        <f>'10.Grain Production details'!A112</f>
        <v>0</v>
      </c>
      <c r="B30" s="199"/>
      <c r="C30" s="233">
        <f>'10.Grain Production details'!B113</f>
        <v>0</v>
      </c>
      <c r="D30" s="233">
        <f>'10.Grain Production details'!C113</f>
        <v>0</v>
      </c>
      <c r="E30" s="233">
        <f>'10.Grain Production details'!D113</f>
        <v>0</v>
      </c>
      <c r="F30" s="233">
        <f>'10.Grain Production details'!E113</f>
        <v>0</v>
      </c>
      <c r="G30" s="233">
        <f>'10.Grain Production details'!F113</f>
        <v>0</v>
      </c>
      <c r="H30" s="233">
        <f>'10.Grain Production details'!G113</f>
        <v>0</v>
      </c>
      <c r="I30" s="233">
        <f>'10.Grain Production details'!H113</f>
        <v>0</v>
      </c>
    </row>
    <row r="31" spans="1:9" x14ac:dyDescent="0.2">
      <c r="A31" s="94">
        <f>'10.Grain Production details'!A113</f>
        <v>0</v>
      </c>
      <c r="B31" s="199"/>
      <c r="C31" s="233">
        <f>'10.Grain Production details'!C114</f>
        <v>0</v>
      </c>
      <c r="D31" s="233">
        <f>'10.Grain Production details'!D114</f>
        <v>0</v>
      </c>
      <c r="E31" s="233">
        <f>'10.Grain Production details'!E114</f>
        <v>0</v>
      </c>
      <c r="F31" s="233">
        <f>'10.Grain Production details'!F114</f>
        <v>0</v>
      </c>
      <c r="G31" s="233">
        <f>'10.Grain Production details'!G114</f>
        <v>0</v>
      </c>
      <c r="H31" s="233">
        <f>'10.Grain Production details'!H114</f>
        <v>0</v>
      </c>
      <c r="I31" s="233">
        <f>'10.Grain Production details'!I114</f>
        <v>0</v>
      </c>
    </row>
    <row r="32" spans="1:9" x14ac:dyDescent="0.2">
      <c r="A32" s="96" t="str">
        <f>'11.F&amp;V Crop Production details'!A1:H1</f>
        <v>Fruit  &amp; Vegetables Crop Production Details</v>
      </c>
      <c r="B32" s="199"/>
      <c r="C32" s="233"/>
      <c r="D32" s="233"/>
      <c r="E32" s="233"/>
      <c r="F32" s="233"/>
      <c r="G32" s="233"/>
      <c r="H32" s="233"/>
      <c r="I32" s="233"/>
    </row>
    <row r="33" spans="1:9" x14ac:dyDescent="0.2">
      <c r="A33" s="94" t="str">
        <f>'11.F&amp;V Crop Production details'!A102</f>
        <v>Onion</v>
      </c>
      <c r="B33" s="199"/>
      <c r="C33" s="233">
        <f>'11.F&amp;V Crop Production details'!B102</f>
        <v>0</v>
      </c>
      <c r="D33" s="233">
        <f>'11.F&amp;V Crop Production details'!C102</f>
        <v>0</v>
      </c>
      <c r="E33" s="233">
        <f>'11.F&amp;V Crop Production details'!D102</f>
        <v>0</v>
      </c>
      <c r="F33" s="233">
        <f>'11.F&amp;V Crop Production details'!E102</f>
        <v>0</v>
      </c>
      <c r="G33" s="233">
        <f>'11.F&amp;V Crop Production details'!F102</f>
        <v>0</v>
      </c>
      <c r="H33" s="233">
        <f>'11.F&amp;V Crop Production details'!G102</f>
        <v>0</v>
      </c>
      <c r="I33" s="233">
        <f>'11.F&amp;V Crop Production details'!H102</f>
        <v>0</v>
      </c>
    </row>
    <row r="34" spans="1:9" x14ac:dyDescent="0.2">
      <c r="A34" s="94" t="str">
        <f>'11.F&amp;V Crop Production details'!A103</f>
        <v>Tomato</v>
      </c>
      <c r="B34" s="199"/>
      <c r="C34" s="233">
        <f>'11.F&amp;V Crop Production details'!B103</f>
        <v>0</v>
      </c>
      <c r="D34" s="233">
        <f>'11.F&amp;V Crop Production details'!C103</f>
        <v>0</v>
      </c>
      <c r="E34" s="233">
        <f>'11.F&amp;V Crop Production details'!D103</f>
        <v>0</v>
      </c>
      <c r="F34" s="233">
        <f>'11.F&amp;V Crop Production details'!E103</f>
        <v>0</v>
      </c>
      <c r="G34" s="233">
        <f>'11.F&amp;V Crop Production details'!F103</f>
        <v>0</v>
      </c>
      <c r="H34" s="233">
        <f>'11.F&amp;V Crop Production details'!G103</f>
        <v>0</v>
      </c>
      <c r="I34" s="233">
        <f>'11.F&amp;V Crop Production details'!H103</f>
        <v>0</v>
      </c>
    </row>
    <row r="35" spans="1:9" x14ac:dyDescent="0.2">
      <c r="A35" s="94" t="str">
        <f>'11.F&amp;V Crop Production details'!A104</f>
        <v>Okra</v>
      </c>
      <c r="B35" s="199"/>
      <c r="C35" s="233">
        <f>'11.F&amp;V Crop Production details'!B104</f>
        <v>0</v>
      </c>
      <c r="D35" s="233">
        <f>'11.F&amp;V Crop Production details'!C104</f>
        <v>0</v>
      </c>
      <c r="E35" s="233">
        <f>'11.F&amp;V Crop Production details'!D104</f>
        <v>0</v>
      </c>
      <c r="F35" s="233">
        <f>'11.F&amp;V Crop Production details'!E104</f>
        <v>0</v>
      </c>
      <c r="G35" s="233">
        <f>'11.F&amp;V Crop Production details'!F104</f>
        <v>0</v>
      </c>
      <c r="H35" s="233">
        <f>'11.F&amp;V Crop Production details'!G104</f>
        <v>0</v>
      </c>
      <c r="I35" s="233">
        <f>'11.F&amp;V Crop Production details'!H104</f>
        <v>0</v>
      </c>
    </row>
    <row r="36" spans="1:9" x14ac:dyDescent="0.2">
      <c r="A36" s="94" t="str">
        <f>'11.F&amp;V Crop Production details'!A105</f>
        <v>Chilli</v>
      </c>
      <c r="B36" s="199"/>
      <c r="C36" s="233">
        <f>'11.F&amp;V Crop Production details'!B105</f>
        <v>0</v>
      </c>
      <c r="D36" s="233">
        <f>'11.F&amp;V Crop Production details'!C105</f>
        <v>0</v>
      </c>
      <c r="E36" s="233">
        <f>'11.F&amp;V Crop Production details'!D105</f>
        <v>0</v>
      </c>
      <c r="F36" s="233">
        <f>'11.F&amp;V Crop Production details'!E105</f>
        <v>0</v>
      </c>
      <c r="G36" s="233">
        <f>'11.F&amp;V Crop Production details'!F105</f>
        <v>0</v>
      </c>
      <c r="H36" s="233">
        <f>'11.F&amp;V Crop Production details'!G105</f>
        <v>0</v>
      </c>
      <c r="I36" s="233">
        <f>'11.F&amp;V Crop Production details'!H105</f>
        <v>0</v>
      </c>
    </row>
    <row r="37" spans="1:9" x14ac:dyDescent="0.2">
      <c r="A37" s="94" t="str">
        <f>'11.F&amp;V Crop Production details'!A106</f>
        <v>Potato</v>
      </c>
      <c r="B37" s="199"/>
      <c r="C37" s="233">
        <f>'11.F&amp;V Crop Production details'!B106</f>
        <v>0</v>
      </c>
      <c r="D37" s="233">
        <f>'11.F&amp;V Crop Production details'!C106</f>
        <v>0</v>
      </c>
      <c r="E37" s="233">
        <f>'11.F&amp;V Crop Production details'!D106</f>
        <v>0</v>
      </c>
      <c r="F37" s="233">
        <f>'11.F&amp;V Crop Production details'!E106</f>
        <v>0</v>
      </c>
      <c r="G37" s="233">
        <f>'11.F&amp;V Crop Production details'!F106</f>
        <v>0</v>
      </c>
      <c r="H37" s="233">
        <f>'11.F&amp;V Crop Production details'!G106</f>
        <v>0</v>
      </c>
      <c r="I37" s="233">
        <f>'11.F&amp;V Crop Production details'!H106</f>
        <v>0</v>
      </c>
    </row>
    <row r="38" spans="1:9" x14ac:dyDescent="0.2">
      <c r="A38" s="94">
        <f>'11.F&amp;V Crop Production details'!A107</f>
        <v>0</v>
      </c>
      <c r="B38" s="199"/>
      <c r="C38" s="233">
        <f>'11.F&amp;V Crop Production details'!B107</f>
        <v>0</v>
      </c>
      <c r="D38" s="233">
        <f>'11.F&amp;V Crop Production details'!C107</f>
        <v>0</v>
      </c>
      <c r="E38" s="233">
        <f>'11.F&amp;V Crop Production details'!D107</f>
        <v>0</v>
      </c>
      <c r="F38" s="233">
        <f>'11.F&amp;V Crop Production details'!E107</f>
        <v>0</v>
      </c>
      <c r="G38" s="233">
        <f>'11.F&amp;V Crop Production details'!F107</f>
        <v>0</v>
      </c>
      <c r="H38" s="233">
        <f>'11.F&amp;V Crop Production details'!G107</f>
        <v>0</v>
      </c>
      <c r="I38" s="233">
        <f>'11.F&amp;V Crop Production details'!H107</f>
        <v>0</v>
      </c>
    </row>
    <row r="39" spans="1:9" x14ac:dyDescent="0.2">
      <c r="A39" s="94">
        <f>'11.F&amp;V Crop Production details'!A108</f>
        <v>0</v>
      </c>
      <c r="B39" s="199"/>
      <c r="C39" s="233">
        <f>'11.F&amp;V Crop Production details'!B108</f>
        <v>0</v>
      </c>
      <c r="D39" s="233">
        <f>'11.F&amp;V Crop Production details'!C108</f>
        <v>0</v>
      </c>
      <c r="E39" s="233">
        <f>'11.F&amp;V Crop Production details'!D108</f>
        <v>0</v>
      </c>
      <c r="F39" s="233">
        <f>'11.F&amp;V Crop Production details'!E108</f>
        <v>0</v>
      </c>
      <c r="G39" s="233">
        <f>'11.F&amp;V Crop Production details'!F108</f>
        <v>0</v>
      </c>
      <c r="H39" s="233">
        <f>'11.F&amp;V Crop Production details'!G108</f>
        <v>0</v>
      </c>
      <c r="I39" s="233">
        <f>'11.F&amp;V Crop Production details'!H108</f>
        <v>0</v>
      </c>
    </row>
    <row r="40" spans="1:9" x14ac:dyDescent="0.2">
      <c r="A40" s="94">
        <f>'11.F&amp;V Crop Production details'!A109</f>
        <v>0</v>
      </c>
      <c r="B40" s="199"/>
      <c r="C40" s="233">
        <f>'11.F&amp;V Crop Production details'!B109</f>
        <v>0</v>
      </c>
      <c r="D40" s="233">
        <f>'11.F&amp;V Crop Production details'!C109</f>
        <v>0</v>
      </c>
      <c r="E40" s="233">
        <f>'11.F&amp;V Crop Production details'!D109</f>
        <v>0</v>
      </c>
      <c r="F40" s="233">
        <f>'11.F&amp;V Crop Production details'!E109</f>
        <v>0</v>
      </c>
      <c r="G40" s="233">
        <f>'11.F&amp;V Crop Production details'!F109</f>
        <v>0</v>
      </c>
      <c r="H40" s="233">
        <f>'11.F&amp;V Crop Production details'!G109</f>
        <v>0</v>
      </c>
      <c r="I40" s="233">
        <f>'11.F&amp;V Crop Production details'!H109</f>
        <v>0</v>
      </c>
    </row>
    <row r="41" spans="1:9" x14ac:dyDescent="0.2">
      <c r="A41" s="94">
        <f>'11.F&amp;V Crop Production details'!A110</f>
        <v>0</v>
      </c>
      <c r="B41" s="199"/>
      <c r="C41" s="233">
        <f>'11.F&amp;V Crop Production details'!B110</f>
        <v>0</v>
      </c>
      <c r="D41" s="233">
        <f>'11.F&amp;V Crop Production details'!C110</f>
        <v>0</v>
      </c>
      <c r="E41" s="233">
        <f>'11.F&amp;V Crop Production details'!D110</f>
        <v>0</v>
      </c>
      <c r="F41" s="233">
        <f>'11.F&amp;V Crop Production details'!E110</f>
        <v>0</v>
      </c>
      <c r="G41" s="233">
        <f>'11.F&amp;V Crop Production details'!F110</f>
        <v>0</v>
      </c>
      <c r="H41" s="233">
        <f>'11.F&amp;V Crop Production details'!G110</f>
        <v>0</v>
      </c>
      <c r="I41" s="233">
        <f>'11.F&amp;V Crop Production details'!H110</f>
        <v>0</v>
      </c>
    </row>
    <row r="42" spans="1:9" x14ac:dyDescent="0.2">
      <c r="A42" s="94" t="str">
        <f>'11.F&amp;V Crop Production details'!A111</f>
        <v>Onion</v>
      </c>
      <c r="B42" s="199"/>
      <c r="C42" s="233">
        <f>'11.F&amp;V Crop Production details'!B111</f>
        <v>0</v>
      </c>
      <c r="D42" s="233">
        <f>'11.F&amp;V Crop Production details'!C111</f>
        <v>0</v>
      </c>
      <c r="E42" s="233">
        <f>'11.F&amp;V Crop Production details'!D111</f>
        <v>0</v>
      </c>
      <c r="F42" s="233">
        <f>'11.F&amp;V Crop Production details'!E111</f>
        <v>0</v>
      </c>
      <c r="G42" s="233">
        <f>'11.F&amp;V Crop Production details'!F111</f>
        <v>0</v>
      </c>
      <c r="H42" s="233">
        <f>'11.F&amp;V Crop Production details'!G111</f>
        <v>0</v>
      </c>
      <c r="I42" s="233">
        <f>'11.F&amp;V Crop Production details'!H111</f>
        <v>0</v>
      </c>
    </row>
    <row r="43" spans="1:9" x14ac:dyDescent="0.2">
      <c r="A43" s="94" t="str">
        <f>'11.F&amp;V Crop Production details'!A112</f>
        <v>Tomato</v>
      </c>
      <c r="B43" s="199"/>
      <c r="C43" s="233">
        <f>'11.F&amp;V Crop Production details'!B112</f>
        <v>0</v>
      </c>
      <c r="D43" s="233">
        <f>'11.F&amp;V Crop Production details'!C112</f>
        <v>0</v>
      </c>
      <c r="E43" s="233">
        <f>'11.F&amp;V Crop Production details'!D112</f>
        <v>0</v>
      </c>
      <c r="F43" s="233">
        <f>'11.F&amp;V Crop Production details'!E112</f>
        <v>0</v>
      </c>
      <c r="G43" s="233">
        <f>'11.F&amp;V Crop Production details'!F112</f>
        <v>0</v>
      </c>
      <c r="H43" s="233">
        <f>'11.F&amp;V Crop Production details'!G112</f>
        <v>0</v>
      </c>
      <c r="I43" s="233">
        <f>'11.F&amp;V Crop Production details'!H112</f>
        <v>0</v>
      </c>
    </row>
    <row r="44" spans="1:9" x14ac:dyDescent="0.2">
      <c r="A44" s="94" t="str">
        <f>'11.F&amp;V Crop Production details'!A113</f>
        <v>Okra</v>
      </c>
      <c r="B44" s="199"/>
      <c r="C44" s="233">
        <f>'11.F&amp;V Crop Production details'!B113</f>
        <v>0</v>
      </c>
      <c r="D44" s="233">
        <f>'11.F&amp;V Crop Production details'!C113</f>
        <v>0</v>
      </c>
      <c r="E44" s="233">
        <f>'11.F&amp;V Crop Production details'!D113</f>
        <v>0</v>
      </c>
      <c r="F44" s="233">
        <f>'11.F&amp;V Crop Production details'!E113</f>
        <v>0</v>
      </c>
      <c r="G44" s="233">
        <f>'11.F&amp;V Crop Production details'!F113</f>
        <v>0</v>
      </c>
      <c r="H44" s="233">
        <f>'11.F&amp;V Crop Production details'!G113</f>
        <v>0</v>
      </c>
      <c r="I44" s="233">
        <f>'11.F&amp;V Crop Production details'!H113</f>
        <v>0</v>
      </c>
    </row>
    <row r="45" spans="1:9" x14ac:dyDescent="0.2">
      <c r="A45" s="94" t="str">
        <f>'11.F&amp;V Crop Production details'!A114</f>
        <v>Chilli</v>
      </c>
      <c r="B45" s="199"/>
      <c r="C45" s="233">
        <f>'11.F&amp;V Crop Production details'!B114</f>
        <v>0</v>
      </c>
      <c r="D45" s="233">
        <f>'11.F&amp;V Crop Production details'!C114</f>
        <v>0</v>
      </c>
      <c r="E45" s="233">
        <f>'11.F&amp;V Crop Production details'!D114</f>
        <v>0</v>
      </c>
      <c r="F45" s="233">
        <f>'11.F&amp;V Crop Production details'!E114</f>
        <v>0</v>
      </c>
      <c r="G45" s="233">
        <f>'11.F&amp;V Crop Production details'!F114</f>
        <v>0</v>
      </c>
      <c r="H45" s="233">
        <f>'11.F&amp;V Crop Production details'!G114</f>
        <v>0</v>
      </c>
      <c r="I45" s="233">
        <f>'11.F&amp;V Crop Production details'!H114</f>
        <v>0</v>
      </c>
    </row>
    <row r="46" spans="1:9" x14ac:dyDescent="0.2">
      <c r="A46" s="94" t="str">
        <f>'11.F&amp;V Crop Production details'!A115</f>
        <v>Brinjal</v>
      </c>
      <c r="B46" s="199"/>
      <c r="C46" s="233">
        <f>'11.F&amp;V Crop Production details'!B115</f>
        <v>0</v>
      </c>
      <c r="D46" s="233">
        <f>'11.F&amp;V Crop Production details'!C115</f>
        <v>0</v>
      </c>
      <c r="E46" s="233">
        <f>'11.F&amp;V Crop Production details'!D115</f>
        <v>0</v>
      </c>
      <c r="F46" s="233">
        <f>'11.F&amp;V Crop Production details'!E115</f>
        <v>0</v>
      </c>
      <c r="G46" s="233">
        <f>'11.F&amp;V Crop Production details'!F115</f>
        <v>0</v>
      </c>
      <c r="H46" s="233">
        <f>'11.F&amp;V Crop Production details'!G115</f>
        <v>0</v>
      </c>
      <c r="I46" s="233">
        <f>'11.F&amp;V Crop Production details'!H115</f>
        <v>0</v>
      </c>
    </row>
    <row r="47" spans="1:9" x14ac:dyDescent="0.2">
      <c r="A47" s="94">
        <f>'11.F&amp;V Crop Production details'!A116</f>
        <v>0</v>
      </c>
      <c r="B47" s="199"/>
      <c r="C47" s="233">
        <f>'11.F&amp;V Crop Production details'!B116</f>
        <v>0</v>
      </c>
      <c r="D47" s="233">
        <f>'11.F&amp;V Crop Production details'!C116</f>
        <v>0</v>
      </c>
      <c r="E47" s="233">
        <f>'11.F&amp;V Crop Production details'!D116</f>
        <v>0</v>
      </c>
      <c r="F47" s="233">
        <f>'11.F&amp;V Crop Production details'!E116</f>
        <v>0</v>
      </c>
      <c r="G47" s="233">
        <f>'11.F&amp;V Crop Production details'!F116</f>
        <v>0</v>
      </c>
      <c r="H47" s="233">
        <f>'11.F&amp;V Crop Production details'!G116</f>
        <v>0</v>
      </c>
      <c r="I47" s="233">
        <f>'11.F&amp;V Crop Production details'!H116</f>
        <v>0</v>
      </c>
    </row>
    <row r="48" spans="1:9" x14ac:dyDescent="0.2">
      <c r="A48" s="94">
        <f>'11.F&amp;V Crop Production details'!A117</f>
        <v>0</v>
      </c>
      <c r="B48" s="199"/>
      <c r="C48" s="233">
        <f>'11.F&amp;V Crop Production details'!B117</f>
        <v>0</v>
      </c>
      <c r="D48" s="233">
        <f>'11.F&amp;V Crop Production details'!C117</f>
        <v>0</v>
      </c>
      <c r="E48" s="233">
        <f>'11.F&amp;V Crop Production details'!D117</f>
        <v>0</v>
      </c>
      <c r="F48" s="233">
        <f>'11.F&amp;V Crop Production details'!E117</f>
        <v>0</v>
      </c>
      <c r="G48" s="233">
        <f>'11.F&amp;V Crop Production details'!F117</f>
        <v>0</v>
      </c>
      <c r="H48" s="233">
        <f>'11.F&amp;V Crop Production details'!G117</f>
        <v>0</v>
      </c>
      <c r="I48" s="233">
        <f>'11.F&amp;V Crop Production details'!H117</f>
        <v>0</v>
      </c>
    </row>
    <row r="49" spans="1:9" x14ac:dyDescent="0.2">
      <c r="A49" s="94">
        <f>'11.F&amp;V Crop Production details'!A118</f>
        <v>0</v>
      </c>
      <c r="B49" s="199"/>
      <c r="C49" s="233">
        <f>'11.F&amp;V Crop Production details'!B118</f>
        <v>0</v>
      </c>
      <c r="D49" s="233">
        <f>'11.F&amp;V Crop Production details'!C118</f>
        <v>0</v>
      </c>
      <c r="E49" s="233">
        <f>'11.F&amp;V Crop Production details'!D118</f>
        <v>0</v>
      </c>
      <c r="F49" s="233">
        <f>'11.F&amp;V Crop Production details'!E118</f>
        <v>0</v>
      </c>
      <c r="G49" s="233">
        <f>'11.F&amp;V Crop Production details'!F118</f>
        <v>0</v>
      </c>
      <c r="H49" s="233">
        <f>'11.F&amp;V Crop Production details'!G118</f>
        <v>0</v>
      </c>
      <c r="I49" s="233">
        <f>'11.F&amp;V Crop Production details'!H118</f>
        <v>0</v>
      </c>
    </row>
    <row r="50" spans="1:9" x14ac:dyDescent="0.2">
      <c r="A50" s="94">
        <f>'11.F&amp;V Crop Production details'!A119</f>
        <v>0</v>
      </c>
      <c r="B50" s="199"/>
      <c r="C50" s="233">
        <f>'11.F&amp;V Crop Production details'!B119</f>
        <v>0</v>
      </c>
      <c r="D50" s="233">
        <f>'11.F&amp;V Crop Production details'!C119</f>
        <v>0</v>
      </c>
      <c r="E50" s="233">
        <f>'11.F&amp;V Crop Production details'!D119</f>
        <v>0</v>
      </c>
      <c r="F50" s="233">
        <f>'11.F&amp;V Crop Production details'!E119</f>
        <v>0</v>
      </c>
      <c r="G50" s="233">
        <f>'11.F&amp;V Crop Production details'!F119</f>
        <v>0</v>
      </c>
      <c r="H50" s="233">
        <f>'11.F&amp;V Crop Production details'!G119</f>
        <v>0</v>
      </c>
      <c r="I50" s="233">
        <f>'11.F&amp;V Crop Production details'!H119</f>
        <v>0</v>
      </c>
    </row>
    <row r="51" spans="1:9" x14ac:dyDescent="0.2">
      <c r="A51" s="94">
        <f>'11.F&amp;V Crop Production details'!A120</f>
        <v>0</v>
      </c>
      <c r="B51" s="199"/>
      <c r="C51" s="233">
        <f>'11.F&amp;V Crop Production details'!B120</f>
        <v>0</v>
      </c>
      <c r="D51" s="233">
        <f>'11.F&amp;V Crop Production details'!C120</f>
        <v>0</v>
      </c>
      <c r="E51" s="233">
        <f>'11.F&amp;V Crop Production details'!D120</f>
        <v>0</v>
      </c>
      <c r="F51" s="233">
        <f>'11.F&amp;V Crop Production details'!E120</f>
        <v>0</v>
      </c>
      <c r="G51" s="233">
        <f>'11.F&amp;V Crop Production details'!F120</f>
        <v>0</v>
      </c>
      <c r="H51" s="233">
        <f>'11.F&amp;V Crop Production details'!G120</f>
        <v>0</v>
      </c>
      <c r="I51" s="233">
        <f>'11.F&amp;V Crop Production details'!H120</f>
        <v>0</v>
      </c>
    </row>
    <row r="52" spans="1:9" x14ac:dyDescent="0.2">
      <c r="A52" s="94">
        <f>'11.F&amp;V Crop Production details'!A121</f>
        <v>0</v>
      </c>
      <c r="B52" s="199"/>
      <c r="C52" s="233">
        <f>'11.F&amp;V Crop Production details'!B121</f>
        <v>0</v>
      </c>
      <c r="D52" s="233">
        <f>'11.F&amp;V Crop Production details'!C121</f>
        <v>0</v>
      </c>
      <c r="E52" s="233">
        <f>'11.F&amp;V Crop Production details'!D121</f>
        <v>0</v>
      </c>
      <c r="F52" s="233">
        <f>'11.F&amp;V Crop Production details'!E121</f>
        <v>0</v>
      </c>
      <c r="G52" s="233">
        <f>'11.F&amp;V Crop Production details'!F121</f>
        <v>0</v>
      </c>
      <c r="H52" s="233">
        <f>'11.F&amp;V Crop Production details'!G121</f>
        <v>0</v>
      </c>
      <c r="I52" s="233">
        <f>'11.F&amp;V Crop Production details'!H121</f>
        <v>0</v>
      </c>
    </row>
    <row r="53" spans="1:9" x14ac:dyDescent="0.2">
      <c r="A53" s="94">
        <f>'11.F&amp;V Crop Production details'!A122</f>
        <v>0</v>
      </c>
      <c r="B53" s="199"/>
      <c r="C53" s="233">
        <f>'11.F&amp;V Crop Production details'!B122</f>
        <v>0</v>
      </c>
      <c r="D53" s="233">
        <f>'11.F&amp;V Crop Production details'!C122</f>
        <v>0</v>
      </c>
      <c r="E53" s="233">
        <f>'11.F&amp;V Crop Production details'!D122</f>
        <v>0</v>
      </c>
      <c r="F53" s="233">
        <f>'11.F&amp;V Crop Production details'!E122</f>
        <v>0</v>
      </c>
      <c r="G53" s="233">
        <f>'11.F&amp;V Crop Production details'!F122</f>
        <v>0</v>
      </c>
      <c r="H53" s="233">
        <f>'11.F&amp;V Crop Production details'!G122</f>
        <v>0</v>
      </c>
      <c r="I53" s="233">
        <f>'11.F&amp;V Crop Production details'!H122</f>
        <v>0</v>
      </c>
    </row>
    <row r="54" spans="1:9" x14ac:dyDescent="0.2">
      <c r="A54" s="94" t="str">
        <f>'11.F&amp;V Crop Production details'!A123</f>
        <v>Pomegranate</v>
      </c>
      <c r="B54" s="199"/>
      <c r="C54" s="233">
        <f>'11.F&amp;V Crop Production details'!B123</f>
        <v>0</v>
      </c>
      <c r="D54" s="233">
        <f>'11.F&amp;V Crop Production details'!C123</f>
        <v>0</v>
      </c>
      <c r="E54" s="233">
        <f>'11.F&amp;V Crop Production details'!D123</f>
        <v>0</v>
      </c>
      <c r="F54" s="233">
        <f>'11.F&amp;V Crop Production details'!E123</f>
        <v>0</v>
      </c>
      <c r="G54" s="233">
        <f>'11.F&amp;V Crop Production details'!F123</f>
        <v>0</v>
      </c>
      <c r="H54" s="233">
        <f>'11.F&amp;V Crop Production details'!G123</f>
        <v>0</v>
      </c>
      <c r="I54" s="233">
        <f>'11.F&amp;V Crop Production details'!H123</f>
        <v>0</v>
      </c>
    </row>
    <row r="55" spans="1:9" x14ac:dyDescent="0.2">
      <c r="A55" s="94" t="str">
        <f>'11.F&amp;V Crop Production details'!A124</f>
        <v>Custard Apple</v>
      </c>
      <c r="B55" s="199"/>
      <c r="C55" s="233">
        <f>'11.F&amp;V Crop Production details'!B124</f>
        <v>0</v>
      </c>
      <c r="D55" s="233">
        <f>'11.F&amp;V Crop Production details'!C124</f>
        <v>0</v>
      </c>
      <c r="E55" s="233">
        <f>'11.F&amp;V Crop Production details'!D124</f>
        <v>0</v>
      </c>
      <c r="F55" s="233">
        <f>'11.F&amp;V Crop Production details'!E124</f>
        <v>0</v>
      </c>
      <c r="G55" s="233">
        <f>'11.F&amp;V Crop Production details'!F124</f>
        <v>0</v>
      </c>
      <c r="H55" s="233">
        <f>'11.F&amp;V Crop Production details'!G124</f>
        <v>0</v>
      </c>
      <c r="I55" s="233">
        <f>'11.F&amp;V Crop Production details'!H124</f>
        <v>0</v>
      </c>
    </row>
    <row r="56" spans="1:9" x14ac:dyDescent="0.2">
      <c r="A56" s="94" t="str">
        <f>'11.F&amp;V Crop Production details'!A125</f>
        <v>Guava</v>
      </c>
      <c r="B56" s="199"/>
      <c r="C56" s="233">
        <f>'11.F&amp;V Crop Production details'!B125</f>
        <v>0</v>
      </c>
      <c r="D56" s="233">
        <f>'11.F&amp;V Crop Production details'!C125</f>
        <v>0</v>
      </c>
      <c r="E56" s="233">
        <f>'11.F&amp;V Crop Production details'!D125</f>
        <v>0</v>
      </c>
      <c r="F56" s="233">
        <f>'11.F&amp;V Crop Production details'!E125</f>
        <v>0</v>
      </c>
      <c r="G56" s="233">
        <f>'11.F&amp;V Crop Production details'!F125</f>
        <v>0</v>
      </c>
      <c r="H56" s="233">
        <f>'11.F&amp;V Crop Production details'!G125</f>
        <v>0</v>
      </c>
      <c r="I56" s="233">
        <f>'11.F&amp;V Crop Production details'!H125</f>
        <v>0</v>
      </c>
    </row>
    <row r="57" spans="1:9" x14ac:dyDescent="0.2">
      <c r="A57" s="94" t="str">
        <f>'11.F&amp;V Crop Production details'!A126</f>
        <v>Citrus</v>
      </c>
      <c r="B57" s="199"/>
      <c r="C57" s="233">
        <f>'11.F&amp;V Crop Production details'!B126</f>
        <v>0</v>
      </c>
      <c r="D57" s="233">
        <f>'11.F&amp;V Crop Production details'!C126</f>
        <v>0</v>
      </c>
      <c r="E57" s="233">
        <f>'11.F&amp;V Crop Production details'!D126</f>
        <v>0</v>
      </c>
      <c r="F57" s="233">
        <f>'11.F&amp;V Crop Production details'!E126</f>
        <v>0</v>
      </c>
      <c r="G57" s="233">
        <f>'11.F&amp;V Crop Production details'!F126</f>
        <v>0</v>
      </c>
      <c r="H57" s="233">
        <f>'11.F&amp;V Crop Production details'!G126</f>
        <v>0</v>
      </c>
      <c r="I57" s="233">
        <f>'11.F&amp;V Crop Production details'!H126</f>
        <v>0</v>
      </c>
    </row>
    <row r="58" spans="1:9" x14ac:dyDescent="0.2">
      <c r="A58" s="94"/>
      <c r="B58" s="199"/>
      <c r="C58" s="199"/>
      <c r="D58" s="199"/>
      <c r="E58" s="199"/>
      <c r="F58" s="199"/>
      <c r="G58" s="199"/>
      <c r="H58" s="199"/>
      <c r="I58" s="199"/>
    </row>
    <row r="59" spans="1:9" x14ac:dyDescent="0.2">
      <c r="A59" s="96" t="s">
        <v>184</v>
      </c>
      <c r="B59" s="94"/>
      <c r="C59" s="94"/>
      <c r="D59" s="94"/>
      <c r="E59" s="94"/>
      <c r="F59" s="94"/>
      <c r="G59" s="94"/>
      <c r="H59" s="94"/>
      <c r="I59" s="94"/>
    </row>
    <row r="60" spans="1:9" x14ac:dyDescent="0.2">
      <c r="A60" s="96" t="s">
        <v>185</v>
      </c>
      <c r="B60" s="94"/>
      <c r="C60" s="94"/>
      <c r="D60" s="94"/>
      <c r="E60" s="94"/>
      <c r="F60" s="94"/>
      <c r="G60" s="94"/>
      <c r="H60" s="94"/>
      <c r="I60" s="94"/>
    </row>
    <row r="61" spans="1:9" x14ac:dyDescent="0.2">
      <c r="A61" s="96" t="str">
        <f t="shared" ref="A61:A92" si="0">A8</f>
        <v>Kharif Crops</v>
      </c>
      <c r="B61" s="94"/>
      <c r="C61" s="94"/>
      <c r="D61" s="94"/>
      <c r="E61" s="94"/>
      <c r="F61" s="94"/>
      <c r="G61" s="94"/>
      <c r="H61" s="94"/>
      <c r="I61" s="94"/>
    </row>
    <row r="62" spans="1:9" x14ac:dyDescent="0.2">
      <c r="A62" s="94" t="str">
        <f t="shared" si="0"/>
        <v>Soybean</v>
      </c>
      <c r="B62" s="223">
        <v>30</v>
      </c>
      <c r="C62" s="200">
        <f>$B62*C9</f>
        <v>10734</v>
      </c>
      <c r="D62" s="200">
        <f>$B62*D9</f>
        <v>12075.750000000002</v>
      </c>
      <c r="E62" s="200">
        <f t="shared" ref="E62:I62" si="1">$B62*E9</f>
        <v>13417.5</v>
      </c>
      <c r="F62" s="200">
        <f t="shared" si="1"/>
        <v>14759.25</v>
      </c>
      <c r="G62" s="200">
        <f t="shared" si="1"/>
        <v>16101.000000000002</v>
      </c>
      <c r="H62" s="200">
        <f t="shared" si="1"/>
        <v>17442.750000000004</v>
      </c>
      <c r="I62" s="200">
        <f t="shared" si="1"/>
        <v>18784.500000000004</v>
      </c>
    </row>
    <row r="63" spans="1:9" x14ac:dyDescent="0.2">
      <c r="A63" s="94" t="str">
        <f t="shared" si="0"/>
        <v>Red Gram/Tur</v>
      </c>
      <c r="B63" s="223">
        <v>5</v>
      </c>
      <c r="C63" s="200">
        <f>$B63*C10</f>
        <v>4472.5</v>
      </c>
      <c r="D63" s="200">
        <f t="shared" ref="D63:I63" si="2">$B$63*D10</f>
        <v>5031.5625</v>
      </c>
      <c r="E63" s="200">
        <f t="shared" si="2"/>
        <v>5590.625</v>
      </c>
      <c r="F63" s="200">
        <f t="shared" si="2"/>
        <v>6149.6875</v>
      </c>
      <c r="G63" s="200">
        <f t="shared" si="2"/>
        <v>6708.7500000000009</v>
      </c>
      <c r="H63" s="200">
        <f t="shared" si="2"/>
        <v>7267.8125000000009</v>
      </c>
      <c r="I63" s="200">
        <f t="shared" si="2"/>
        <v>7826.8750000000018</v>
      </c>
    </row>
    <row r="64" spans="1:9" x14ac:dyDescent="0.2">
      <c r="A64" s="94" t="str">
        <f t="shared" si="0"/>
        <v>Paddy/Rice</v>
      </c>
      <c r="B64" s="223">
        <v>15</v>
      </c>
      <c r="C64" s="200">
        <f>$B64*C11</f>
        <v>0</v>
      </c>
      <c r="D64" s="200">
        <f t="shared" ref="D64:I64" si="3">$B$64*D11</f>
        <v>0</v>
      </c>
      <c r="E64" s="200">
        <f t="shared" si="3"/>
        <v>0</v>
      </c>
      <c r="F64" s="200">
        <f t="shared" si="3"/>
        <v>0</v>
      </c>
      <c r="G64" s="200">
        <f t="shared" si="3"/>
        <v>0</v>
      </c>
      <c r="H64" s="200">
        <f t="shared" si="3"/>
        <v>0</v>
      </c>
      <c r="I64" s="200">
        <f t="shared" si="3"/>
        <v>0</v>
      </c>
    </row>
    <row r="65" spans="1:9" x14ac:dyDescent="0.2">
      <c r="A65" s="94" t="str">
        <f t="shared" si="0"/>
        <v>Green Gram/ Moong</v>
      </c>
      <c r="B65" s="223">
        <v>15</v>
      </c>
      <c r="C65" s="200">
        <f>$B65*C12</f>
        <v>6708.75</v>
      </c>
      <c r="D65" s="200">
        <f t="shared" ref="D65:I67" si="4">$B65*D12</f>
        <v>7547.34375</v>
      </c>
      <c r="E65" s="200">
        <f t="shared" si="4"/>
        <v>8385.9375</v>
      </c>
      <c r="F65" s="200">
        <f t="shared" si="4"/>
        <v>9224.53125</v>
      </c>
      <c r="G65" s="200">
        <f t="shared" si="4"/>
        <v>10063.125000000002</v>
      </c>
      <c r="H65" s="200">
        <f t="shared" si="4"/>
        <v>10901.718750000002</v>
      </c>
      <c r="I65" s="200">
        <f t="shared" si="4"/>
        <v>11740.312500000004</v>
      </c>
    </row>
    <row r="66" spans="1:9" x14ac:dyDescent="0.2">
      <c r="A66" s="94" t="str">
        <f t="shared" si="0"/>
        <v>Maize</v>
      </c>
      <c r="B66" s="223">
        <v>25</v>
      </c>
      <c r="C66" s="200">
        <f>$B66*C13</f>
        <v>0</v>
      </c>
      <c r="D66" s="200">
        <f t="shared" si="4"/>
        <v>0</v>
      </c>
      <c r="E66" s="200">
        <f t="shared" si="4"/>
        <v>0</v>
      </c>
      <c r="F66" s="200">
        <f t="shared" si="4"/>
        <v>0</v>
      </c>
      <c r="G66" s="200">
        <f t="shared" si="4"/>
        <v>0</v>
      </c>
      <c r="H66" s="200">
        <f t="shared" si="4"/>
        <v>0</v>
      </c>
      <c r="I66" s="200">
        <f t="shared" si="4"/>
        <v>0</v>
      </c>
    </row>
    <row r="67" spans="1:9" x14ac:dyDescent="0.2">
      <c r="A67" s="94" t="str">
        <f t="shared" si="0"/>
        <v>Black Gram/Udid</v>
      </c>
      <c r="B67" s="223">
        <v>15</v>
      </c>
      <c r="C67" s="200">
        <f>$B67*C14</f>
        <v>536.70000000000005</v>
      </c>
      <c r="D67" s="200">
        <f t="shared" si="4"/>
        <v>603.78750000000002</v>
      </c>
      <c r="E67" s="200">
        <f t="shared" si="4"/>
        <v>670.875</v>
      </c>
      <c r="F67" s="200">
        <f t="shared" si="4"/>
        <v>737.96250000000009</v>
      </c>
      <c r="G67" s="200">
        <f t="shared" si="4"/>
        <v>805.05000000000018</v>
      </c>
      <c r="H67" s="200">
        <f t="shared" si="4"/>
        <v>872.13750000000016</v>
      </c>
      <c r="I67" s="200">
        <f t="shared" si="4"/>
        <v>939.22500000000025</v>
      </c>
    </row>
    <row r="68" spans="1:9" x14ac:dyDescent="0.2">
      <c r="A68" s="94" t="str">
        <f t="shared" si="0"/>
        <v>Bajra</v>
      </c>
      <c r="B68" s="223">
        <v>5</v>
      </c>
      <c r="C68" s="200">
        <f t="shared" ref="C68:I68" si="5">$B68*C15</f>
        <v>178.9</v>
      </c>
      <c r="D68" s="200">
        <f t="shared" si="5"/>
        <v>201.26250000000002</v>
      </c>
      <c r="E68" s="200">
        <f t="shared" si="5"/>
        <v>223.625</v>
      </c>
      <c r="F68" s="200">
        <f t="shared" si="5"/>
        <v>245.98750000000001</v>
      </c>
      <c r="G68" s="200">
        <f t="shared" si="5"/>
        <v>268.35000000000002</v>
      </c>
      <c r="H68" s="200">
        <f t="shared" si="5"/>
        <v>290.71250000000009</v>
      </c>
      <c r="I68" s="200">
        <f t="shared" si="5"/>
        <v>313.0750000000001</v>
      </c>
    </row>
    <row r="69" spans="1:9" x14ac:dyDescent="0.2">
      <c r="A69" s="94" t="str">
        <f t="shared" si="0"/>
        <v>Jawar</v>
      </c>
      <c r="B69" s="223">
        <v>5</v>
      </c>
      <c r="C69" s="200">
        <f t="shared" ref="C69:I69" si="6">$B69*C16</f>
        <v>0</v>
      </c>
      <c r="D69" s="200">
        <f t="shared" si="6"/>
        <v>0</v>
      </c>
      <c r="E69" s="200">
        <f t="shared" si="6"/>
        <v>0</v>
      </c>
      <c r="F69" s="200">
        <f t="shared" si="6"/>
        <v>0</v>
      </c>
      <c r="G69" s="200">
        <f t="shared" si="6"/>
        <v>0</v>
      </c>
      <c r="H69" s="200">
        <f t="shared" si="6"/>
        <v>0</v>
      </c>
      <c r="I69" s="200">
        <f t="shared" si="6"/>
        <v>0</v>
      </c>
    </row>
    <row r="70" spans="1:9" x14ac:dyDescent="0.2">
      <c r="A70" s="96" t="str">
        <f t="shared" si="0"/>
        <v>Rabi Crop</v>
      </c>
      <c r="B70" s="223"/>
      <c r="C70" s="200"/>
      <c r="D70" s="200"/>
      <c r="E70" s="200"/>
      <c r="F70" s="200"/>
      <c r="G70" s="200"/>
      <c r="H70" s="200"/>
      <c r="I70" s="200"/>
    </row>
    <row r="71" spans="1:9" x14ac:dyDescent="0.2">
      <c r="A71" s="94" t="str">
        <f t="shared" si="0"/>
        <v>Wheat</v>
      </c>
      <c r="B71" s="223">
        <v>40</v>
      </c>
      <c r="C71" s="200">
        <f t="shared" ref="C71:I71" si="7">$B71*C18</f>
        <v>14312</v>
      </c>
      <c r="D71" s="200">
        <f t="shared" si="7"/>
        <v>16101.000000000002</v>
      </c>
      <c r="E71" s="200">
        <f t="shared" si="7"/>
        <v>17890</v>
      </c>
      <c r="F71" s="200">
        <f t="shared" si="7"/>
        <v>19679</v>
      </c>
      <c r="G71" s="200">
        <f t="shared" si="7"/>
        <v>21468</v>
      </c>
      <c r="H71" s="200">
        <f t="shared" si="7"/>
        <v>23257.000000000004</v>
      </c>
      <c r="I71" s="200">
        <f t="shared" si="7"/>
        <v>25046.000000000004</v>
      </c>
    </row>
    <row r="72" spans="1:9" x14ac:dyDescent="0.2">
      <c r="A72" s="94" t="str">
        <f t="shared" si="0"/>
        <v>Bengal Gram/Channa</v>
      </c>
      <c r="B72" s="223">
        <v>30</v>
      </c>
      <c r="C72" s="200">
        <f t="shared" ref="C72:I72" si="8">$B72*C19</f>
        <v>21468</v>
      </c>
      <c r="D72" s="200">
        <f t="shared" si="8"/>
        <v>24151.500000000004</v>
      </c>
      <c r="E72" s="200">
        <f t="shared" si="8"/>
        <v>26835</v>
      </c>
      <c r="F72" s="200">
        <f t="shared" si="8"/>
        <v>29518.5</v>
      </c>
      <c r="G72" s="200">
        <f t="shared" si="8"/>
        <v>32202.000000000004</v>
      </c>
      <c r="H72" s="200">
        <f t="shared" si="8"/>
        <v>34885.500000000007</v>
      </c>
      <c r="I72" s="200">
        <f t="shared" si="8"/>
        <v>37569.000000000007</v>
      </c>
    </row>
    <row r="73" spans="1:9" x14ac:dyDescent="0.2">
      <c r="A73" s="94" t="str">
        <f t="shared" si="0"/>
        <v>Jawar</v>
      </c>
      <c r="B73" s="223">
        <v>5</v>
      </c>
      <c r="C73" s="200">
        <f t="shared" ref="C73:I73" si="9">$B73*C20</f>
        <v>1789</v>
      </c>
      <c r="D73" s="200">
        <f t="shared" si="9"/>
        <v>2012.6250000000002</v>
      </c>
      <c r="E73" s="200">
        <f t="shared" si="9"/>
        <v>2236.25</v>
      </c>
      <c r="F73" s="200">
        <f t="shared" si="9"/>
        <v>2459.875</v>
      </c>
      <c r="G73" s="200">
        <f t="shared" si="9"/>
        <v>2683.5</v>
      </c>
      <c r="H73" s="200">
        <f t="shared" si="9"/>
        <v>2907.1250000000005</v>
      </c>
      <c r="I73" s="200">
        <f t="shared" si="9"/>
        <v>3130.7500000000005</v>
      </c>
    </row>
    <row r="74" spans="1:9" x14ac:dyDescent="0.2">
      <c r="A74" s="94" t="str">
        <f t="shared" si="0"/>
        <v>Maize</v>
      </c>
      <c r="B74" s="223">
        <v>20</v>
      </c>
      <c r="C74" s="200">
        <f t="shared" ref="C74:I74" si="10">$B74*C21</f>
        <v>715.6</v>
      </c>
      <c r="D74" s="200">
        <f t="shared" si="10"/>
        <v>805.05000000000007</v>
      </c>
      <c r="E74" s="200">
        <f t="shared" si="10"/>
        <v>894.5</v>
      </c>
      <c r="F74" s="200">
        <f t="shared" si="10"/>
        <v>983.95</v>
      </c>
      <c r="G74" s="200">
        <f t="shared" si="10"/>
        <v>1073.4000000000001</v>
      </c>
      <c r="H74" s="200">
        <f t="shared" si="10"/>
        <v>1162.8500000000004</v>
      </c>
      <c r="I74" s="200">
        <f t="shared" si="10"/>
        <v>1252.3000000000004</v>
      </c>
    </row>
    <row r="75" spans="1:9" x14ac:dyDescent="0.2">
      <c r="A75" s="94" t="str">
        <f t="shared" si="0"/>
        <v>Safflower</v>
      </c>
      <c r="B75" s="223">
        <v>5</v>
      </c>
      <c r="C75" s="200">
        <f t="shared" ref="C75:I75" si="11">$B75*C22</f>
        <v>0</v>
      </c>
      <c r="D75" s="200">
        <f t="shared" si="11"/>
        <v>0</v>
      </c>
      <c r="E75" s="200">
        <f t="shared" si="11"/>
        <v>0</v>
      </c>
      <c r="F75" s="200">
        <f t="shared" si="11"/>
        <v>0</v>
      </c>
      <c r="G75" s="200">
        <f t="shared" si="11"/>
        <v>0</v>
      </c>
      <c r="H75" s="200">
        <f t="shared" si="11"/>
        <v>0</v>
      </c>
      <c r="I75" s="200">
        <f t="shared" si="11"/>
        <v>0</v>
      </c>
    </row>
    <row r="76" spans="1:9" x14ac:dyDescent="0.2">
      <c r="A76" s="94">
        <f t="shared" si="0"/>
        <v>0</v>
      </c>
      <c r="B76" s="223"/>
      <c r="C76" s="200">
        <f t="shared" ref="C76:I76" si="12">$B76*C23</f>
        <v>0</v>
      </c>
      <c r="D76" s="200">
        <f t="shared" si="12"/>
        <v>0</v>
      </c>
      <c r="E76" s="200">
        <f t="shared" si="12"/>
        <v>0</v>
      </c>
      <c r="F76" s="200">
        <f t="shared" si="12"/>
        <v>0</v>
      </c>
      <c r="G76" s="200">
        <f t="shared" si="12"/>
        <v>0</v>
      </c>
      <c r="H76" s="200">
        <f t="shared" si="12"/>
        <v>0</v>
      </c>
      <c r="I76" s="200">
        <f t="shared" si="12"/>
        <v>0</v>
      </c>
    </row>
    <row r="77" spans="1:9" x14ac:dyDescent="0.2">
      <c r="A77" s="94">
        <f t="shared" si="0"/>
        <v>0</v>
      </c>
      <c r="B77" s="223"/>
      <c r="C77" s="200">
        <f t="shared" ref="C77:I77" si="13">$B77*C24</f>
        <v>0</v>
      </c>
      <c r="D77" s="200">
        <f t="shared" si="13"/>
        <v>0</v>
      </c>
      <c r="E77" s="200">
        <f t="shared" si="13"/>
        <v>0</v>
      </c>
      <c r="F77" s="200">
        <f t="shared" si="13"/>
        <v>0</v>
      </c>
      <c r="G77" s="200">
        <f t="shared" si="13"/>
        <v>0</v>
      </c>
      <c r="H77" s="200">
        <f t="shared" si="13"/>
        <v>0</v>
      </c>
      <c r="I77" s="200">
        <f t="shared" si="13"/>
        <v>0</v>
      </c>
    </row>
    <row r="78" spans="1:9" x14ac:dyDescent="0.2">
      <c r="A78" s="94">
        <f t="shared" si="0"/>
        <v>0</v>
      </c>
      <c r="B78" s="223"/>
      <c r="C78" s="200">
        <f t="shared" ref="C78:I78" si="14">$B78*C25</f>
        <v>0</v>
      </c>
      <c r="D78" s="200">
        <f t="shared" si="14"/>
        <v>0</v>
      </c>
      <c r="E78" s="200">
        <f t="shared" si="14"/>
        <v>0</v>
      </c>
      <c r="F78" s="200">
        <f t="shared" si="14"/>
        <v>0</v>
      </c>
      <c r="G78" s="200">
        <f t="shared" si="14"/>
        <v>0</v>
      </c>
      <c r="H78" s="200">
        <f t="shared" si="14"/>
        <v>0</v>
      </c>
      <c r="I78" s="200">
        <f t="shared" si="14"/>
        <v>0</v>
      </c>
    </row>
    <row r="79" spans="1:9" x14ac:dyDescent="0.2">
      <c r="A79" s="96" t="str">
        <f t="shared" si="0"/>
        <v>Summer</v>
      </c>
      <c r="B79" s="223"/>
      <c r="C79" s="200"/>
      <c r="D79" s="200"/>
      <c r="E79" s="200"/>
      <c r="F79" s="200"/>
      <c r="G79" s="200"/>
      <c r="H79" s="200"/>
      <c r="I79" s="200"/>
    </row>
    <row r="80" spans="1:9" x14ac:dyDescent="0.2">
      <c r="A80" s="94" t="str">
        <f t="shared" si="0"/>
        <v>Groundnut</v>
      </c>
      <c r="B80" s="223"/>
      <c r="C80" s="200">
        <f t="shared" ref="C80:I80" si="15">$B80*C27</f>
        <v>0</v>
      </c>
      <c r="D80" s="200">
        <f t="shared" si="15"/>
        <v>0</v>
      </c>
      <c r="E80" s="200">
        <f t="shared" si="15"/>
        <v>0</v>
      </c>
      <c r="F80" s="200">
        <f t="shared" si="15"/>
        <v>0</v>
      </c>
      <c r="G80" s="200">
        <f t="shared" si="15"/>
        <v>0</v>
      </c>
      <c r="H80" s="200">
        <f t="shared" si="15"/>
        <v>0</v>
      </c>
      <c r="I80" s="200">
        <f t="shared" si="15"/>
        <v>0</v>
      </c>
    </row>
    <row r="81" spans="1:9" x14ac:dyDescent="0.2">
      <c r="A81" s="94">
        <f t="shared" si="0"/>
        <v>0</v>
      </c>
      <c r="B81" s="223"/>
      <c r="C81" s="200">
        <f t="shared" ref="C81:I81" si="16">$B81*C28</f>
        <v>0</v>
      </c>
      <c r="D81" s="200">
        <f t="shared" si="16"/>
        <v>0</v>
      </c>
      <c r="E81" s="200">
        <f t="shared" si="16"/>
        <v>0</v>
      </c>
      <c r="F81" s="200">
        <f t="shared" si="16"/>
        <v>0</v>
      </c>
      <c r="G81" s="200">
        <f t="shared" si="16"/>
        <v>0</v>
      </c>
      <c r="H81" s="200">
        <f t="shared" si="16"/>
        <v>0</v>
      </c>
      <c r="I81" s="200">
        <f t="shared" si="16"/>
        <v>0</v>
      </c>
    </row>
    <row r="82" spans="1:9" x14ac:dyDescent="0.2">
      <c r="A82" s="94">
        <f t="shared" si="0"/>
        <v>0</v>
      </c>
      <c r="B82" s="223"/>
      <c r="C82" s="200">
        <f t="shared" ref="C82:I82" si="17">$B82*C29</f>
        <v>0</v>
      </c>
      <c r="D82" s="200">
        <f t="shared" si="17"/>
        <v>0</v>
      </c>
      <c r="E82" s="200">
        <f t="shared" si="17"/>
        <v>0</v>
      </c>
      <c r="F82" s="200">
        <f t="shared" si="17"/>
        <v>0</v>
      </c>
      <c r="G82" s="200">
        <f t="shared" si="17"/>
        <v>0</v>
      </c>
      <c r="H82" s="200">
        <f t="shared" si="17"/>
        <v>0</v>
      </c>
      <c r="I82" s="200">
        <f t="shared" si="17"/>
        <v>0</v>
      </c>
    </row>
    <row r="83" spans="1:9" x14ac:dyDescent="0.2">
      <c r="A83" s="94">
        <f t="shared" si="0"/>
        <v>0</v>
      </c>
      <c r="B83" s="223"/>
      <c r="C83" s="200">
        <f t="shared" ref="C83:I83" si="18">$B83*C30</f>
        <v>0</v>
      </c>
      <c r="D83" s="200">
        <f t="shared" si="18"/>
        <v>0</v>
      </c>
      <c r="E83" s="200">
        <f t="shared" si="18"/>
        <v>0</v>
      </c>
      <c r="F83" s="200">
        <f t="shared" si="18"/>
        <v>0</v>
      </c>
      <c r="G83" s="200">
        <f t="shared" si="18"/>
        <v>0</v>
      </c>
      <c r="H83" s="200">
        <f t="shared" si="18"/>
        <v>0</v>
      </c>
      <c r="I83" s="200">
        <f t="shared" si="18"/>
        <v>0</v>
      </c>
    </row>
    <row r="84" spans="1:9" x14ac:dyDescent="0.2">
      <c r="A84" s="94">
        <f t="shared" si="0"/>
        <v>0</v>
      </c>
      <c r="B84" s="223"/>
      <c r="C84" s="200">
        <f t="shared" ref="C84:I84" si="19">$B84*C31</f>
        <v>0</v>
      </c>
      <c r="D84" s="200">
        <f t="shared" si="19"/>
        <v>0</v>
      </c>
      <c r="E84" s="200">
        <f t="shared" si="19"/>
        <v>0</v>
      </c>
      <c r="F84" s="200">
        <f t="shared" si="19"/>
        <v>0</v>
      </c>
      <c r="G84" s="200">
        <f t="shared" si="19"/>
        <v>0</v>
      </c>
      <c r="H84" s="200">
        <f t="shared" si="19"/>
        <v>0</v>
      </c>
      <c r="I84" s="200">
        <f t="shared" si="19"/>
        <v>0</v>
      </c>
    </row>
    <row r="85" spans="1:9" x14ac:dyDescent="0.2">
      <c r="A85" s="96" t="str">
        <f t="shared" si="0"/>
        <v>Fruit  &amp; Vegetables Crop Production Details</v>
      </c>
      <c r="B85" s="223"/>
      <c r="C85" s="200"/>
      <c r="D85" s="200"/>
      <c r="E85" s="200"/>
      <c r="F85" s="200"/>
      <c r="G85" s="200"/>
      <c r="H85" s="200"/>
      <c r="I85" s="200"/>
    </row>
    <row r="86" spans="1:9" x14ac:dyDescent="0.2">
      <c r="A86" s="94" t="str">
        <f t="shared" si="0"/>
        <v>Onion</v>
      </c>
      <c r="B86" s="223"/>
      <c r="C86" s="200">
        <f t="shared" ref="C86:I86" si="20">$B86*C33</f>
        <v>0</v>
      </c>
      <c r="D86" s="200">
        <f t="shared" si="20"/>
        <v>0</v>
      </c>
      <c r="E86" s="200">
        <f t="shared" si="20"/>
        <v>0</v>
      </c>
      <c r="F86" s="200">
        <f t="shared" si="20"/>
        <v>0</v>
      </c>
      <c r="G86" s="200">
        <f t="shared" si="20"/>
        <v>0</v>
      </c>
      <c r="H86" s="200">
        <f t="shared" si="20"/>
        <v>0</v>
      </c>
      <c r="I86" s="200">
        <f t="shared" si="20"/>
        <v>0</v>
      </c>
    </row>
    <row r="87" spans="1:9" x14ac:dyDescent="0.2">
      <c r="A87" s="94" t="str">
        <f t="shared" si="0"/>
        <v>Tomato</v>
      </c>
      <c r="B87" s="223"/>
      <c r="C87" s="200">
        <f t="shared" ref="C87:I87" si="21">$B87*C34</f>
        <v>0</v>
      </c>
      <c r="D87" s="200">
        <f t="shared" si="21"/>
        <v>0</v>
      </c>
      <c r="E87" s="200">
        <f t="shared" si="21"/>
        <v>0</v>
      </c>
      <c r="F87" s="200">
        <f t="shared" si="21"/>
        <v>0</v>
      </c>
      <c r="G87" s="200">
        <f t="shared" si="21"/>
        <v>0</v>
      </c>
      <c r="H87" s="200">
        <f t="shared" si="21"/>
        <v>0</v>
      </c>
      <c r="I87" s="200">
        <f t="shared" si="21"/>
        <v>0</v>
      </c>
    </row>
    <row r="88" spans="1:9" x14ac:dyDescent="0.2">
      <c r="A88" s="94" t="str">
        <f t="shared" si="0"/>
        <v>Okra</v>
      </c>
      <c r="B88" s="223"/>
      <c r="C88" s="200">
        <f t="shared" ref="C88:I88" si="22">$B88*C35</f>
        <v>0</v>
      </c>
      <c r="D88" s="200">
        <f t="shared" si="22"/>
        <v>0</v>
      </c>
      <c r="E88" s="200">
        <f t="shared" si="22"/>
        <v>0</v>
      </c>
      <c r="F88" s="200">
        <f t="shared" si="22"/>
        <v>0</v>
      </c>
      <c r="G88" s="200">
        <f t="shared" si="22"/>
        <v>0</v>
      </c>
      <c r="H88" s="200">
        <f t="shared" si="22"/>
        <v>0</v>
      </c>
      <c r="I88" s="200">
        <f t="shared" si="22"/>
        <v>0</v>
      </c>
    </row>
    <row r="89" spans="1:9" x14ac:dyDescent="0.2">
      <c r="A89" s="94" t="str">
        <f t="shared" si="0"/>
        <v>Chilli</v>
      </c>
      <c r="B89" s="223"/>
      <c r="C89" s="200">
        <f t="shared" ref="C89:I89" si="23">$B89*C36</f>
        <v>0</v>
      </c>
      <c r="D89" s="200">
        <f t="shared" si="23"/>
        <v>0</v>
      </c>
      <c r="E89" s="200">
        <f t="shared" si="23"/>
        <v>0</v>
      </c>
      <c r="F89" s="200">
        <f t="shared" si="23"/>
        <v>0</v>
      </c>
      <c r="G89" s="200">
        <f t="shared" si="23"/>
        <v>0</v>
      </c>
      <c r="H89" s="200">
        <f t="shared" si="23"/>
        <v>0</v>
      </c>
      <c r="I89" s="200">
        <f t="shared" si="23"/>
        <v>0</v>
      </c>
    </row>
    <row r="90" spans="1:9" x14ac:dyDescent="0.2">
      <c r="A90" s="94" t="str">
        <f t="shared" si="0"/>
        <v>Potato</v>
      </c>
      <c r="B90" s="223"/>
      <c r="C90" s="200">
        <f t="shared" ref="C90:I90" si="24">$B90*C37</f>
        <v>0</v>
      </c>
      <c r="D90" s="200">
        <f t="shared" si="24"/>
        <v>0</v>
      </c>
      <c r="E90" s="200">
        <f t="shared" si="24"/>
        <v>0</v>
      </c>
      <c r="F90" s="200">
        <f t="shared" si="24"/>
        <v>0</v>
      </c>
      <c r="G90" s="200">
        <f t="shared" si="24"/>
        <v>0</v>
      </c>
      <c r="H90" s="200">
        <f t="shared" si="24"/>
        <v>0</v>
      </c>
      <c r="I90" s="200">
        <f t="shared" si="24"/>
        <v>0</v>
      </c>
    </row>
    <row r="91" spans="1:9" x14ac:dyDescent="0.2">
      <c r="A91" s="94">
        <f t="shared" si="0"/>
        <v>0</v>
      </c>
      <c r="B91" s="223"/>
      <c r="C91" s="200">
        <f t="shared" ref="C91:I91" si="25">$B91*C38</f>
        <v>0</v>
      </c>
      <c r="D91" s="200">
        <f t="shared" si="25"/>
        <v>0</v>
      </c>
      <c r="E91" s="200">
        <f t="shared" si="25"/>
        <v>0</v>
      </c>
      <c r="F91" s="200">
        <f t="shared" si="25"/>
        <v>0</v>
      </c>
      <c r="G91" s="200">
        <f t="shared" si="25"/>
        <v>0</v>
      </c>
      <c r="H91" s="200">
        <f t="shared" si="25"/>
        <v>0</v>
      </c>
      <c r="I91" s="200">
        <f t="shared" si="25"/>
        <v>0</v>
      </c>
    </row>
    <row r="92" spans="1:9" x14ac:dyDescent="0.2">
      <c r="A92" s="94">
        <f t="shared" si="0"/>
        <v>0</v>
      </c>
      <c r="B92" s="223"/>
      <c r="C92" s="200">
        <f t="shared" ref="C92:I92" si="26">$B92*C39</f>
        <v>0</v>
      </c>
      <c r="D92" s="200">
        <f t="shared" si="26"/>
        <v>0</v>
      </c>
      <c r="E92" s="200">
        <f t="shared" si="26"/>
        <v>0</v>
      </c>
      <c r="F92" s="200">
        <f t="shared" si="26"/>
        <v>0</v>
      </c>
      <c r="G92" s="200">
        <f t="shared" si="26"/>
        <v>0</v>
      </c>
      <c r="H92" s="200">
        <f t="shared" si="26"/>
        <v>0</v>
      </c>
      <c r="I92" s="200">
        <f t="shared" si="26"/>
        <v>0</v>
      </c>
    </row>
    <row r="93" spans="1:9" x14ac:dyDescent="0.2">
      <c r="A93" s="94">
        <f t="shared" ref="A93:A110" si="27">A40</f>
        <v>0</v>
      </c>
      <c r="B93" s="223"/>
      <c r="C93" s="200">
        <f t="shared" ref="C93:I93" si="28">$B93*C40</f>
        <v>0</v>
      </c>
      <c r="D93" s="200">
        <f t="shared" si="28"/>
        <v>0</v>
      </c>
      <c r="E93" s="200">
        <f t="shared" si="28"/>
        <v>0</v>
      </c>
      <c r="F93" s="200">
        <f t="shared" si="28"/>
        <v>0</v>
      </c>
      <c r="G93" s="200">
        <f t="shared" si="28"/>
        <v>0</v>
      </c>
      <c r="H93" s="200">
        <f t="shared" si="28"/>
        <v>0</v>
      </c>
      <c r="I93" s="200">
        <f t="shared" si="28"/>
        <v>0</v>
      </c>
    </row>
    <row r="94" spans="1:9" x14ac:dyDescent="0.2">
      <c r="A94" s="94">
        <f t="shared" si="27"/>
        <v>0</v>
      </c>
      <c r="B94" s="223"/>
      <c r="C94" s="200">
        <f t="shared" ref="C94:I94" si="29">$B94*C41</f>
        <v>0</v>
      </c>
      <c r="D94" s="200">
        <f t="shared" si="29"/>
        <v>0</v>
      </c>
      <c r="E94" s="200">
        <f t="shared" si="29"/>
        <v>0</v>
      </c>
      <c r="F94" s="200">
        <f t="shared" si="29"/>
        <v>0</v>
      </c>
      <c r="G94" s="200">
        <f t="shared" si="29"/>
        <v>0</v>
      </c>
      <c r="H94" s="200">
        <f t="shared" si="29"/>
        <v>0</v>
      </c>
      <c r="I94" s="200">
        <f t="shared" si="29"/>
        <v>0</v>
      </c>
    </row>
    <row r="95" spans="1:9" x14ac:dyDescent="0.2">
      <c r="A95" s="94" t="str">
        <f t="shared" si="27"/>
        <v>Onion</v>
      </c>
      <c r="B95" s="223"/>
      <c r="C95" s="200">
        <f t="shared" ref="C95:I95" si="30">$B95*C42</f>
        <v>0</v>
      </c>
      <c r="D95" s="200">
        <f t="shared" si="30"/>
        <v>0</v>
      </c>
      <c r="E95" s="200">
        <f t="shared" si="30"/>
        <v>0</v>
      </c>
      <c r="F95" s="200">
        <f t="shared" si="30"/>
        <v>0</v>
      </c>
      <c r="G95" s="200">
        <f t="shared" si="30"/>
        <v>0</v>
      </c>
      <c r="H95" s="200">
        <f t="shared" si="30"/>
        <v>0</v>
      </c>
      <c r="I95" s="200">
        <f t="shared" si="30"/>
        <v>0</v>
      </c>
    </row>
    <row r="96" spans="1:9" x14ac:dyDescent="0.2">
      <c r="A96" s="94" t="str">
        <f t="shared" si="27"/>
        <v>Tomato</v>
      </c>
      <c r="B96" s="223"/>
      <c r="C96" s="200">
        <f t="shared" ref="C96:I96" si="31">$B96*C43</f>
        <v>0</v>
      </c>
      <c r="D96" s="200">
        <f t="shared" si="31"/>
        <v>0</v>
      </c>
      <c r="E96" s="200">
        <f t="shared" si="31"/>
        <v>0</v>
      </c>
      <c r="F96" s="200">
        <f t="shared" si="31"/>
        <v>0</v>
      </c>
      <c r="G96" s="200">
        <f t="shared" si="31"/>
        <v>0</v>
      </c>
      <c r="H96" s="200">
        <f t="shared" si="31"/>
        <v>0</v>
      </c>
      <c r="I96" s="200">
        <f t="shared" si="31"/>
        <v>0</v>
      </c>
    </row>
    <row r="97" spans="1:9" x14ac:dyDescent="0.2">
      <c r="A97" s="94" t="str">
        <f t="shared" si="27"/>
        <v>Okra</v>
      </c>
      <c r="B97" s="223"/>
      <c r="C97" s="200">
        <f t="shared" ref="C97:I97" si="32">$B97*C44</f>
        <v>0</v>
      </c>
      <c r="D97" s="200">
        <f t="shared" si="32"/>
        <v>0</v>
      </c>
      <c r="E97" s="200">
        <f t="shared" si="32"/>
        <v>0</v>
      </c>
      <c r="F97" s="200">
        <f t="shared" si="32"/>
        <v>0</v>
      </c>
      <c r="G97" s="200">
        <f t="shared" si="32"/>
        <v>0</v>
      </c>
      <c r="H97" s="200">
        <f t="shared" si="32"/>
        <v>0</v>
      </c>
      <c r="I97" s="200">
        <f t="shared" si="32"/>
        <v>0</v>
      </c>
    </row>
    <row r="98" spans="1:9" x14ac:dyDescent="0.2">
      <c r="A98" s="94" t="str">
        <f t="shared" si="27"/>
        <v>Chilli</v>
      </c>
      <c r="B98" s="223"/>
      <c r="C98" s="200">
        <f t="shared" ref="C98:I98" si="33">$B98*C45</f>
        <v>0</v>
      </c>
      <c r="D98" s="200">
        <f t="shared" si="33"/>
        <v>0</v>
      </c>
      <c r="E98" s="200">
        <f t="shared" si="33"/>
        <v>0</v>
      </c>
      <c r="F98" s="200">
        <f t="shared" si="33"/>
        <v>0</v>
      </c>
      <c r="G98" s="200">
        <f t="shared" si="33"/>
        <v>0</v>
      </c>
      <c r="H98" s="200">
        <f t="shared" si="33"/>
        <v>0</v>
      </c>
      <c r="I98" s="200">
        <f t="shared" si="33"/>
        <v>0</v>
      </c>
    </row>
    <row r="99" spans="1:9" x14ac:dyDescent="0.2">
      <c r="A99" s="94" t="str">
        <f t="shared" si="27"/>
        <v>Brinjal</v>
      </c>
      <c r="B99" s="223"/>
      <c r="C99" s="200">
        <f t="shared" ref="C99:I99" si="34">$B99*C46</f>
        <v>0</v>
      </c>
      <c r="D99" s="200">
        <f t="shared" si="34"/>
        <v>0</v>
      </c>
      <c r="E99" s="200">
        <f t="shared" si="34"/>
        <v>0</v>
      </c>
      <c r="F99" s="200">
        <f t="shared" si="34"/>
        <v>0</v>
      </c>
      <c r="G99" s="200">
        <f t="shared" si="34"/>
        <v>0</v>
      </c>
      <c r="H99" s="200">
        <f t="shared" si="34"/>
        <v>0</v>
      </c>
      <c r="I99" s="200">
        <f t="shared" si="34"/>
        <v>0</v>
      </c>
    </row>
    <row r="100" spans="1:9" x14ac:dyDescent="0.2">
      <c r="A100" s="94">
        <f t="shared" si="27"/>
        <v>0</v>
      </c>
      <c r="B100" s="223"/>
      <c r="C100" s="200">
        <f t="shared" ref="C100:I100" si="35">$B100*C47</f>
        <v>0</v>
      </c>
      <c r="D100" s="200">
        <f t="shared" si="35"/>
        <v>0</v>
      </c>
      <c r="E100" s="200">
        <f t="shared" si="35"/>
        <v>0</v>
      </c>
      <c r="F100" s="200">
        <f t="shared" si="35"/>
        <v>0</v>
      </c>
      <c r="G100" s="200">
        <f t="shared" si="35"/>
        <v>0</v>
      </c>
      <c r="H100" s="200">
        <f t="shared" si="35"/>
        <v>0</v>
      </c>
      <c r="I100" s="200">
        <f t="shared" si="35"/>
        <v>0</v>
      </c>
    </row>
    <row r="101" spans="1:9" x14ac:dyDescent="0.2">
      <c r="A101" s="94">
        <f t="shared" si="27"/>
        <v>0</v>
      </c>
      <c r="B101" s="223"/>
      <c r="C101" s="200">
        <f t="shared" ref="C101:I101" si="36">$B101*C48</f>
        <v>0</v>
      </c>
      <c r="D101" s="200">
        <f t="shared" si="36"/>
        <v>0</v>
      </c>
      <c r="E101" s="200">
        <f t="shared" si="36"/>
        <v>0</v>
      </c>
      <c r="F101" s="200">
        <f t="shared" si="36"/>
        <v>0</v>
      </c>
      <c r="G101" s="200">
        <f t="shared" si="36"/>
        <v>0</v>
      </c>
      <c r="H101" s="200">
        <f t="shared" si="36"/>
        <v>0</v>
      </c>
      <c r="I101" s="200">
        <f t="shared" si="36"/>
        <v>0</v>
      </c>
    </row>
    <row r="102" spans="1:9" x14ac:dyDescent="0.2">
      <c r="A102" s="94">
        <f t="shared" si="27"/>
        <v>0</v>
      </c>
      <c r="B102" s="223"/>
      <c r="C102" s="200">
        <f t="shared" ref="C102:I102" si="37">$B102*C49</f>
        <v>0</v>
      </c>
      <c r="D102" s="200">
        <f t="shared" si="37"/>
        <v>0</v>
      </c>
      <c r="E102" s="200">
        <f t="shared" si="37"/>
        <v>0</v>
      </c>
      <c r="F102" s="200">
        <f t="shared" si="37"/>
        <v>0</v>
      </c>
      <c r="G102" s="200">
        <f t="shared" si="37"/>
        <v>0</v>
      </c>
      <c r="H102" s="200">
        <f t="shared" si="37"/>
        <v>0</v>
      </c>
      <c r="I102" s="200">
        <f t="shared" si="37"/>
        <v>0</v>
      </c>
    </row>
    <row r="103" spans="1:9" x14ac:dyDescent="0.2">
      <c r="A103" s="94">
        <f t="shared" si="27"/>
        <v>0</v>
      </c>
      <c r="B103" s="223"/>
      <c r="C103" s="200">
        <f t="shared" ref="C103:I103" si="38">$B103*C50</f>
        <v>0</v>
      </c>
      <c r="D103" s="200">
        <f t="shared" si="38"/>
        <v>0</v>
      </c>
      <c r="E103" s="200">
        <f t="shared" si="38"/>
        <v>0</v>
      </c>
      <c r="F103" s="200">
        <f t="shared" si="38"/>
        <v>0</v>
      </c>
      <c r="G103" s="200">
        <f t="shared" si="38"/>
        <v>0</v>
      </c>
      <c r="H103" s="200">
        <f t="shared" si="38"/>
        <v>0</v>
      </c>
      <c r="I103" s="200">
        <f t="shared" si="38"/>
        <v>0</v>
      </c>
    </row>
    <row r="104" spans="1:9" x14ac:dyDescent="0.2">
      <c r="A104" s="94">
        <f t="shared" si="27"/>
        <v>0</v>
      </c>
      <c r="B104" s="223"/>
      <c r="C104" s="200">
        <f t="shared" ref="C104:I104" si="39">$B104*C51</f>
        <v>0</v>
      </c>
      <c r="D104" s="200">
        <f t="shared" si="39"/>
        <v>0</v>
      </c>
      <c r="E104" s="200">
        <f t="shared" si="39"/>
        <v>0</v>
      </c>
      <c r="F104" s="200">
        <f t="shared" si="39"/>
        <v>0</v>
      </c>
      <c r="G104" s="200">
        <f t="shared" si="39"/>
        <v>0</v>
      </c>
      <c r="H104" s="200">
        <f t="shared" si="39"/>
        <v>0</v>
      </c>
      <c r="I104" s="200">
        <f t="shared" si="39"/>
        <v>0</v>
      </c>
    </row>
    <row r="105" spans="1:9" x14ac:dyDescent="0.2">
      <c r="A105" s="94">
        <f t="shared" si="27"/>
        <v>0</v>
      </c>
      <c r="B105" s="223"/>
      <c r="C105" s="200">
        <f t="shared" ref="C105:I105" si="40">$B105*C52</f>
        <v>0</v>
      </c>
      <c r="D105" s="200">
        <f t="shared" si="40"/>
        <v>0</v>
      </c>
      <c r="E105" s="200">
        <f t="shared" si="40"/>
        <v>0</v>
      </c>
      <c r="F105" s="200">
        <f t="shared" si="40"/>
        <v>0</v>
      </c>
      <c r="G105" s="200">
        <f t="shared" si="40"/>
        <v>0</v>
      </c>
      <c r="H105" s="200">
        <f t="shared" si="40"/>
        <v>0</v>
      </c>
      <c r="I105" s="200">
        <f t="shared" si="40"/>
        <v>0</v>
      </c>
    </row>
    <row r="106" spans="1:9" x14ac:dyDescent="0.2">
      <c r="A106" s="94">
        <f t="shared" si="27"/>
        <v>0</v>
      </c>
      <c r="B106" s="223"/>
      <c r="C106" s="200">
        <f t="shared" ref="C106:I106" si="41">$B106*C53</f>
        <v>0</v>
      </c>
      <c r="D106" s="200">
        <f t="shared" si="41"/>
        <v>0</v>
      </c>
      <c r="E106" s="200">
        <f t="shared" si="41"/>
        <v>0</v>
      </c>
      <c r="F106" s="200">
        <f t="shared" si="41"/>
        <v>0</v>
      </c>
      <c r="G106" s="200">
        <f t="shared" si="41"/>
        <v>0</v>
      </c>
      <c r="H106" s="200">
        <f t="shared" si="41"/>
        <v>0</v>
      </c>
      <c r="I106" s="200">
        <f t="shared" si="41"/>
        <v>0</v>
      </c>
    </row>
    <row r="107" spans="1:9" x14ac:dyDescent="0.2">
      <c r="A107" s="94" t="str">
        <f t="shared" si="27"/>
        <v>Pomegranate</v>
      </c>
      <c r="B107" s="223"/>
      <c r="C107" s="200">
        <f t="shared" ref="C107:I107" si="42">$B107*C54</f>
        <v>0</v>
      </c>
      <c r="D107" s="200">
        <f t="shared" si="42"/>
        <v>0</v>
      </c>
      <c r="E107" s="200">
        <f t="shared" si="42"/>
        <v>0</v>
      </c>
      <c r="F107" s="200">
        <f t="shared" si="42"/>
        <v>0</v>
      </c>
      <c r="G107" s="200">
        <f t="shared" si="42"/>
        <v>0</v>
      </c>
      <c r="H107" s="200">
        <f t="shared" si="42"/>
        <v>0</v>
      </c>
      <c r="I107" s="200">
        <f t="shared" si="42"/>
        <v>0</v>
      </c>
    </row>
    <row r="108" spans="1:9" x14ac:dyDescent="0.2">
      <c r="A108" s="94" t="str">
        <f t="shared" si="27"/>
        <v>Custard Apple</v>
      </c>
      <c r="B108" s="223"/>
      <c r="C108" s="200">
        <f t="shared" ref="C108:I108" si="43">$B108*C55</f>
        <v>0</v>
      </c>
      <c r="D108" s="200">
        <f t="shared" si="43"/>
        <v>0</v>
      </c>
      <c r="E108" s="200">
        <f t="shared" si="43"/>
        <v>0</v>
      </c>
      <c r="F108" s="200">
        <f t="shared" si="43"/>
        <v>0</v>
      </c>
      <c r="G108" s="200">
        <f t="shared" si="43"/>
        <v>0</v>
      </c>
      <c r="H108" s="200">
        <f t="shared" si="43"/>
        <v>0</v>
      </c>
      <c r="I108" s="200">
        <f t="shared" si="43"/>
        <v>0</v>
      </c>
    </row>
    <row r="109" spans="1:9" x14ac:dyDescent="0.2">
      <c r="A109" s="94" t="str">
        <f t="shared" si="27"/>
        <v>Guava</v>
      </c>
      <c r="B109" s="223"/>
      <c r="C109" s="200">
        <f t="shared" ref="C109:I109" si="44">$B109*C56</f>
        <v>0</v>
      </c>
      <c r="D109" s="200">
        <f t="shared" si="44"/>
        <v>0</v>
      </c>
      <c r="E109" s="200">
        <f t="shared" si="44"/>
        <v>0</v>
      </c>
      <c r="F109" s="200">
        <f t="shared" si="44"/>
        <v>0</v>
      </c>
      <c r="G109" s="200">
        <f t="shared" si="44"/>
        <v>0</v>
      </c>
      <c r="H109" s="200">
        <f t="shared" si="44"/>
        <v>0</v>
      </c>
      <c r="I109" s="200">
        <f t="shared" si="44"/>
        <v>0</v>
      </c>
    </row>
    <row r="110" spans="1:9" x14ac:dyDescent="0.2">
      <c r="A110" s="94" t="str">
        <f t="shared" si="27"/>
        <v>Citrus</v>
      </c>
      <c r="B110" s="223"/>
      <c r="C110" s="200">
        <f t="shared" ref="C110:I110" si="45">$B110*C57</f>
        <v>0</v>
      </c>
      <c r="D110" s="200">
        <f t="shared" si="45"/>
        <v>0</v>
      </c>
      <c r="E110" s="200">
        <f t="shared" si="45"/>
        <v>0</v>
      </c>
      <c r="F110" s="200">
        <f t="shared" si="45"/>
        <v>0</v>
      </c>
      <c r="G110" s="200">
        <f t="shared" si="45"/>
        <v>0</v>
      </c>
      <c r="H110" s="200">
        <f t="shared" si="45"/>
        <v>0</v>
      </c>
      <c r="I110" s="200">
        <f t="shared" si="45"/>
        <v>0</v>
      </c>
    </row>
    <row r="111" spans="1:9" x14ac:dyDescent="0.2">
      <c r="A111" s="94"/>
      <c r="B111" s="223"/>
      <c r="C111" s="200"/>
      <c r="D111" s="200"/>
      <c r="E111" s="200"/>
      <c r="F111" s="200"/>
      <c r="G111" s="200"/>
      <c r="H111" s="200"/>
      <c r="I111" s="200"/>
    </row>
    <row r="112" spans="1:9" x14ac:dyDescent="0.2">
      <c r="A112" s="94"/>
      <c r="B112" s="223"/>
      <c r="C112" s="200"/>
      <c r="D112" s="200"/>
      <c r="E112" s="200"/>
      <c r="F112" s="200"/>
      <c r="G112" s="200"/>
      <c r="H112" s="200"/>
      <c r="I112" s="200"/>
    </row>
    <row r="113" spans="1:23" x14ac:dyDescent="0.2">
      <c r="A113" s="96" t="s">
        <v>186</v>
      </c>
      <c r="B113" s="94"/>
      <c r="C113" s="94"/>
      <c r="D113" s="94"/>
      <c r="E113" s="94"/>
      <c r="F113" s="94"/>
      <c r="G113" s="94"/>
      <c r="H113" s="94"/>
      <c r="I113" s="94"/>
    </row>
    <row r="114" spans="1:23" x14ac:dyDescent="0.2">
      <c r="A114" s="94" t="s">
        <v>409</v>
      </c>
      <c r="B114" s="223">
        <v>100</v>
      </c>
      <c r="C114" s="200">
        <f>SUM(C62:C110)*$B$114</f>
        <v>6091545</v>
      </c>
      <c r="D114" s="200">
        <f t="shared" ref="D114:I114" si="46">SUM(D62:D110)*$B$114</f>
        <v>6852988.1250000009</v>
      </c>
      <c r="E114" s="200">
        <f t="shared" si="46"/>
        <v>7614431.25</v>
      </c>
      <c r="F114" s="200">
        <f t="shared" si="46"/>
        <v>8375874.3749999991</v>
      </c>
      <c r="G114" s="200">
        <f t="shared" si="46"/>
        <v>9137317.5</v>
      </c>
      <c r="H114" s="200">
        <f t="shared" si="46"/>
        <v>9898760.6250000019</v>
      </c>
      <c r="I114" s="200">
        <f t="shared" si="46"/>
        <v>10660203.750000002</v>
      </c>
    </row>
    <row r="115" spans="1:23" x14ac:dyDescent="0.2">
      <c r="A115" s="94" t="s">
        <v>180</v>
      </c>
      <c r="B115" s="223">
        <v>30</v>
      </c>
      <c r="C115" s="200">
        <f>SUM(C62:C110)*$B$115</f>
        <v>1827463.5000000002</v>
      </c>
      <c r="D115" s="200">
        <f t="shared" ref="D115:I115" si="47">SUM(D62:D110)*$B$115</f>
        <v>2055896.4375000002</v>
      </c>
      <c r="E115" s="200">
        <f t="shared" si="47"/>
        <v>2284329.375</v>
      </c>
      <c r="F115" s="200">
        <f t="shared" si="47"/>
        <v>2512762.3125</v>
      </c>
      <c r="G115" s="200">
        <f t="shared" si="47"/>
        <v>2741195.25</v>
      </c>
      <c r="H115" s="200">
        <f t="shared" si="47"/>
        <v>2969628.1875000005</v>
      </c>
      <c r="I115" s="200">
        <f t="shared" si="47"/>
        <v>3198061.1250000005</v>
      </c>
    </row>
    <row r="116" spans="1:23" x14ac:dyDescent="0.2">
      <c r="A116" s="94" t="s">
        <v>182</v>
      </c>
      <c r="B116" s="223">
        <v>30</v>
      </c>
      <c r="C116" s="200">
        <f>SUM(C62:C110)*$B$116</f>
        <v>1827463.5000000002</v>
      </c>
      <c r="D116" s="200">
        <f t="shared" ref="D116:I116" si="48">SUM(D62:D110)*$B$116</f>
        <v>2055896.4375000002</v>
      </c>
      <c r="E116" s="200">
        <f t="shared" si="48"/>
        <v>2284329.375</v>
      </c>
      <c r="F116" s="200">
        <f t="shared" si="48"/>
        <v>2512762.3125</v>
      </c>
      <c r="G116" s="200">
        <f t="shared" si="48"/>
        <v>2741195.25</v>
      </c>
      <c r="H116" s="200">
        <f t="shared" si="48"/>
        <v>2969628.1875000005</v>
      </c>
      <c r="I116" s="200">
        <f t="shared" si="48"/>
        <v>3198061.1250000005</v>
      </c>
    </row>
    <row r="117" spans="1:23" x14ac:dyDescent="0.2">
      <c r="A117" s="96" t="s">
        <v>181</v>
      </c>
      <c r="B117" s="223"/>
      <c r="C117" s="94"/>
      <c r="D117" s="94"/>
      <c r="E117" s="94"/>
      <c r="F117" s="94"/>
      <c r="G117" s="94"/>
      <c r="H117" s="94"/>
      <c r="I117" s="94"/>
    </row>
    <row r="118" spans="1:23" x14ac:dyDescent="0.2">
      <c r="A118" s="94" t="s">
        <v>187</v>
      </c>
      <c r="B118" s="223">
        <v>0.2</v>
      </c>
      <c r="C118" s="200">
        <f>SUM(C62:C110)*$B$118</f>
        <v>12183.090000000002</v>
      </c>
      <c r="D118" s="200">
        <f t="shared" ref="D118:I118" si="49">SUM(D62:D110)*$B$118</f>
        <v>13705.976250000002</v>
      </c>
      <c r="E118" s="200">
        <f t="shared" si="49"/>
        <v>15228.862500000001</v>
      </c>
      <c r="F118" s="200">
        <f t="shared" si="49"/>
        <v>16751.748749999999</v>
      </c>
      <c r="G118" s="200">
        <f t="shared" si="49"/>
        <v>18274.635000000002</v>
      </c>
      <c r="H118" s="200">
        <f t="shared" si="49"/>
        <v>19797.521250000005</v>
      </c>
      <c r="I118" s="200">
        <f t="shared" si="49"/>
        <v>21320.407500000005</v>
      </c>
    </row>
    <row r="119" spans="1:23" x14ac:dyDescent="0.2">
      <c r="A119" s="94" t="s">
        <v>718</v>
      </c>
      <c r="B119" s="223">
        <v>0.5</v>
      </c>
      <c r="C119" s="200">
        <f>SUM(C62:C110)*$B$119</f>
        <v>30457.725000000002</v>
      </c>
      <c r="D119" s="200">
        <f t="shared" ref="D119:I119" si="50">SUM(D62:D110)*$B$119</f>
        <v>34264.940625000003</v>
      </c>
      <c r="E119" s="200">
        <f t="shared" si="50"/>
        <v>38072.15625</v>
      </c>
      <c r="F119" s="200">
        <f t="shared" si="50"/>
        <v>41879.371874999997</v>
      </c>
      <c r="G119" s="200">
        <f t="shared" si="50"/>
        <v>45686.587500000001</v>
      </c>
      <c r="H119" s="200">
        <f t="shared" si="50"/>
        <v>49493.803125000006</v>
      </c>
      <c r="I119" s="200">
        <f t="shared" si="50"/>
        <v>53301.01875000001</v>
      </c>
    </row>
    <row r="122" spans="1:23" ht="18" x14ac:dyDescent="0.2">
      <c r="A122" s="451" t="s">
        <v>593</v>
      </c>
      <c r="B122" s="451"/>
      <c r="C122" s="451"/>
      <c r="D122" s="451"/>
      <c r="E122" s="451"/>
      <c r="F122" s="451"/>
      <c r="G122" s="451"/>
      <c r="H122" s="451"/>
      <c r="I122" s="451"/>
      <c r="J122" s="451"/>
    </row>
    <row r="123" spans="1:23" x14ac:dyDescent="0.2">
      <c r="A123" s="29"/>
      <c r="B123" s="57"/>
      <c r="C123" s="29"/>
      <c r="D123" s="29"/>
      <c r="E123" s="29"/>
      <c r="F123" s="29"/>
      <c r="G123" s="29"/>
      <c r="H123" s="29"/>
    </row>
    <row r="124" spans="1:23" x14ac:dyDescent="0.2">
      <c r="A124" s="186"/>
      <c r="B124" s="186"/>
      <c r="C124" s="186"/>
      <c r="D124" s="187">
        <v>1</v>
      </c>
      <c r="E124" s="188">
        <f>(D124*5%)+D124</f>
        <v>1.05</v>
      </c>
      <c r="F124" s="188">
        <f t="shared" ref="F124:J124" si="51">(E124*5%)+E124</f>
        <v>1.1025</v>
      </c>
      <c r="G124" s="188">
        <f t="shared" si="51"/>
        <v>1.1576250000000001</v>
      </c>
      <c r="H124" s="188">
        <f t="shared" si="51"/>
        <v>1.2155062500000002</v>
      </c>
      <c r="I124" s="188">
        <f t="shared" si="51"/>
        <v>1.2762815625000004</v>
      </c>
      <c r="J124" s="188">
        <f t="shared" si="51"/>
        <v>1.3400956406250004</v>
      </c>
      <c r="K124" s="89"/>
      <c r="U124" s="89"/>
      <c r="V124" s="89"/>
      <c r="W124" s="89"/>
    </row>
    <row r="125" spans="1:23" x14ac:dyDescent="0.2">
      <c r="A125" s="89"/>
      <c r="B125" s="89"/>
      <c r="C125" s="89"/>
      <c r="D125" s="89"/>
      <c r="E125" s="89"/>
      <c r="F125" s="89"/>
      <c r="G125" s="89"/>
      <c r="H125" s="89"/>
      <c r="I125" s="89"/>
      <c r="J125" s="89"/>
      <c r="K125" s="89"/>
      <c r="U125" s="89"/>
      <c r="V125" s="89"/>
      <c r="W125" s="89"/>
    </row>
    <row r="126" spans="1:23" x14ac:dyDescent="0.2">
      <c r="A126" s="143" t="s">
        <v>0</v>
      </c>
      <c r="B126" s="143" t="s">
        <v>132</v>
      </c>
      <c r="C126" s="143" t="s">
        <v>153</v>
      </c>
      <c r="D126" s="115" t="s">
        <v>2</v>
      </c>
      <c r="E126" s="115" t="s">
        <v>3</v>
      </c>
      <c r="F126" s="115" t="s">
        <v>4</v>
      </c>
      <c r="G126" s="115" t="s">
        <v>5</v>
      </c>
      <c r="H126" s="115" t="s">
        <v>6</v>
      </c>
      <c r="I126" s="115" t="s">
        <v>170</v>
      </c>
      <c r="J126" s="115" t="s">
        <v>169</v>
      </c>
      <c r="K126" s="89"/>
      <c r="U126" s="89"/>
      <c r="V126" s="89"/>
      <c r="W126" s="89"/>
    </row>
    <row r="127" spans="1:23" x14ac:dyDescent="0.2">
      <c r="A127" s="92" t="s">
        <v>126</v>
      </c>
      <c r="B127" s="90"/>
      <c r="C127" s="90"/>
      <c r="D127" s="90"/>
      <c r="E127" s="90"/>
      <c r="F127" s="90"/>
      <c r="G127" s="90"/>
      <c r="H127" s="90"/>
      <c r="I127" s="90"/>
      <c r="J127" s="90"/>
      <c r="K127" s="89"/>
      <c r="U127" s="89"/>
      <c r="V127" s="89"/>
      <c r="W127" s="89"/>
    </row>
    <row r="128" spans="1:23" x14ac:dyDescent="0.2">
      <c r="A128" s="90" t="s">
        <v>288</v>
      </c>
      <c r="B128" s="90"/>
      <c r="C128" s="90"/>
      <c r="D128" s="90"/>
      <c r="E128" s="90"/>
      <c r="F128" s="90"/>
      <c r="G128" s="90"/>
      <c r="H128" s="90"/>
      <c r="I128" s="90"/>
      <c r="J128" s="90"/>
      <c r="K128" s="89"/>
      <c r="U128" s="89"/>
      <c r="V128" s="89"/>
      <c r="W128" s="89"/>
    </row>
    <row r="129" spans="1:23" x14ac:dyDescent="0.2">
      <c r="A129" s="92" t="str">
        <f t="shared" ref="A129:A160" si="52">A8</f>
        <v>Kharif Crops</v>
      </c>
      <c r="B129" s="90"/>
      <c r="C129" s="90"/>
      <c r="D129" s="90"/>
      <c r="E129" s="90"/>
      <c r="F129" s="90"/>
      <c r="G129" s="90"/>
      <c r="H129" s="90"/>
      <c r="I129" s="90"/>
      <c r="J129" s="90"/>
      <c r="K129" s="89"/>
      <c r="U129" s="89"/>
      <c r="V129" s="89"/>
      <c r="W129" s="89"/>
    </row>
    <row r="130" spans="1:23" x14ac:dyDescent="0.2">
      <c r="A130" s="90" t="str">
        <f t="shared" si="52"/>
        <v>Soybean</v>
      </c>
      <c r="B130" s="90"/>
      <c r="C130" s="223">
        <v>100</v>
      </c>
      <c r="D130" s="91">
        <f>(C62*(1-'5.Closing Stock &amp; W Capital'!$D$15))*$C$130*D$124</f>
        <v>1062666</v>
      </c>
      <c r="E130" s="91">
        <f>(D62*(1-'5.Closing Stock &amp; W Capital'!$D$15))*$C$130*E$124</f>
        <v>1255274.2125000004</v>
      </c>
      <c r="F130" s="91">
        <f>(E62*(1-'5.Closing Stock &amp; W Capital'!$D$15))*$C$130*F$124</f>
        <v>1464486.58125</v>
      </c>
      <c r="G130" s="91">
        <f>(F62*(1-'5.Closing Stock &amp; W Capital'!$D$15))*$C$130*G$124</f>
        <v>1691482.0013437502</v>
      </c>
      <c r="H130" s="91">
        <f>(G62*(1-'5.Closing Stock &amp; W Capital'!$D$15))*$C$130*H$124</f>
        <v>1937515.7469937506</v>
      </c>
      <c r="I130" s="91">
        <f>(H62*(1-'5.Closing Stock &amp; W Capital'!$D$15))*$C$130*I$124</f>
        <v>2203924.1622053916</v>
      </c>
      <c r="J130" s="91">
        <f>(I62*(1-'5.Closing Stock &amp; W Capital'!$D$15))*$C$130*J$124</f>
        <v>2492129.6295707119</v>
      </c>
      <c r="K130" s="89"/>
      <c r="U130" s="89"/>
      <c r="V130" s="89"/>
      <c r="W130" s="89"/>
    </row>
    <row r="131" spans="1:23" x14ac:dyDescent="0.2">
      <c r="A131" s="90" t="str">
        <f t="shared" si="52"/>
        <v>Red Gram/Tur</v>
      </c>
      <c r="B131" s="90"/>
      <c r="C131" s="232">
        <v>100</v>
      </c>
      <c r="D131" s="91">
        <f>(C63*(1-'5.Closing Stock &amp; W Capital'!$D$15))*$C$131*D$124</f>
        <v>442777.49999999994</v>
      </c>
      <c r="E131" s="91">
        <f>((D63*(1-'5.Closing Stock &amp; W Capital'!$D$15))+(C63*'5.Closing Stock &amp; W Capital'!$D$15))*$C$131*E$124</f>
        <v>527727.046875</v>
      </c>
      <c r="F131" s="91">
        <f>((E63*(1-'5.Closing Stock &amp; W Capital'!$D$15))+(D63*'5.Closing Stock &amp; W Capital'!$D$15))*$C$131*F$124</f>
        <v>615750.03984375007</v>
      </c>
      <c r="G131" s="91">
        <f>((F63*(1-'5.Closing Stock &amp; W Capital'!$D$15))+(E63*'5.Closing Stock &amp; W Capital'!$D$15))*$C$131*G124</f>
        <v>711256.01449218753</v>
      </c>
      <c r="H131" s="91">
        <f>((G63*(1-'5.Closing Stock &amp; W Capital'!$D$15))+(F63*'5.Closing Stock &amp; W Capital'!$D$15))*$C$131*H124</f>
        <v>814773.21150585962</v>
      </c>
      <c r="I131" s="91">
        <f>((H63*(1-'5.Closing Stock &amp; W Capital'!$D$15))+(G63*'5.Closing Stock &amp; W Capital'!$D$15))*$C$131*I124</f>
        <v>926863.98818466824</v>
      </c>
      <c r="J131" s="91">
        <f>((I63*(1-'5.Closing Stock &amp; W Capital'!$D$15))+(H63*'5.Closing Stock &amp; W Capital'!$D$15))*$C$131*J124</f>
        <v>1048126.9095025935</v>
      </c>
      <c r="K131" s="89"/>
      <c r="U131" s="173"/>
      <c r="V131" s="89"/>
      <c r="W131" s="89"/>
    </row>
    <row r="132" spans="1:23" x14ac:dyDescent="0.2">
      <c r="A132" s="90" t="str">
        <f t="shared" si="52"/>
        <v>Paddy/Rice</v>
      </c>
      <c r="B132" s="90"/>
      <c r="C132" s="232">
        <v>65</v>
      </c>
      <c r="D132" s="91">
        <f>(C64*(1-'5.Closing Stock &amp; W Capital'!$D$15))*$C$132*D$124</f>
        <v>0</v>
      </c>
      <c r="E132" s="91">
        <f>((D64*(1-'5.Closing Stock &amp; W Capital'!$D$15))+(C64*'5.Closing Stock &amp; W Capital'!$D$15))*$C$132*E$124</f>
        <v>0</v>
      </c>
      <c r="F132" s="91">
        <f>((E64*(1-'5.Closing Stock &amp; W Capital'!$D$15))+(D64*'5.Closing Stock &amp; W Capital'!$D$15))*$C$132*F$124</f>
        <v>0</v>
      </c>
      <c r="G132" s="91">
        <f>((F64*(1-'5.Closing Stock &amp; W Capital'!$D$15))+(E64*'5.Closing Stock &amp; W Capital'!$D$15))*$C$132*G124</f>
        <v>0</v>
      </c>
      <c r="H132" s="91">
        <f>((G64*(1-'5.Closing Stock &amp; W Capital'!$D$15))+(F64*'5.Closing Stock &amp; W Capital'!$D$15))*$C$132*H124</f>
        <v>0</v>
      </c>
      <c r="I132" s="91">
        <f>((H64*(1-'5.Closing Stock &amp; W Capital'!$D$15))+(G64*'5.Closing Stock &amp; W Capital'!$D$15))*$C$132*I124</f>
        <v>0</v>
      </c>
      <c r="J132" s="91">
        <f>((I64*(1-'5.Closing Stock &amp; W Capital'!$D$15))+(H64*'5.Closing Stock &amp; W Capital'!$D$15))*$C$132*J124</f>
        <v>0</v>
      </c>
      <c r="K132" s="89"/>
      <c r="U132" s="89"/>
      <c r="V132" s="89"/>
      <c r="W132" s="89"/>
    </row>
    <row r="133" spans="1:23" x14ac:dyDescent="0.2">
      <c r="A133" s="90" t="str">
        <f t="shared" si="52"/>
        <v>Green Gram/ Moong</v>
      </c>
      <c r="B133" s="90"/>
      <c r="C133" s="232">
        <v>85</v>
      </c>
      <c r="D133" s="91">
        <f>(C65*(1-'5.Closing Stock &amp; W Capital'!$D$15))*$C$133*D$124</f>
        <v>564541.3125</v>
      </c>
      <c r="E133" s="91">
        <f>((D65*(1-'5.Closing Stock &amp; W Capital'!$D$15))+(C65*'5.Closing Stock &amp; W Capital'!$D$15))*$C$133*E$124</f>
        <v>672851.98476562498</v>
      </c>
      <c r="F133" s="91">
        <f>((E65*(1-'5.Closing Stock &amp; W Capital'!$D$15))+(D65*'5.Closing Stock &amp; W Capital'!$D$15))*$C$133*F$124</f>
        <v>785081.30080078135</v>
      </c>
      <c r="G133" s="91">
        <f>((F65*(1-'5.Closing Stock &amp; W Capital'!$D$15))+(E65*'5.Closing Stock &amp; W Capital'!$D$15))*$C$133*G$124</f>
        <v>906851.41847753932</v>
      </c>
      <c r="H133" s="91">
        <f>((G65*(1-'5.Closing Stock &amp; W Capital'!$D$15))+(F65*'5.Closing Stock &amp; W Capital'!$D$15))*$C$133*H$124</f>
        <v>1038835.844669971</v>
      </c>
      <c r="I133" s="91">
        <f>((H65*(1-'5.Closing Stock &amp; W Capital'!$D$15))+(G65*'5.Closing Stock &amp; W Capital'!$D$15))*$C$133*I$124</f>
        <v>1181751.5849354523</v>
      </c>
      <c r="J133" s="91">
        <f>((I65*(1-'5.Closing Stock &amp; W Capital'!$D$15))+(H65*'5.Closing Stock &amp; W Capital'!$D$15))*$C$133*J$124</f>
        <v>1336361.8096158064</v>
      </c>
      <c r="K133" s="89"/>
      <c r="U133" s="89"/>
      <c r="V133" s="89"/>
      <c r="W133" s="89"/>
    </row>
    <row r="134" spans="1:23" x14ac:dyDescent="0.2">
      <c r="A134" s="90" t="str">
        <f t="shared" si="52"/>
        <v>Maize</v>
      </c>
      <c r="B134" s="90"/>
      <c r="C134" s="232">
        <v>37</v>
      </c>
      <c r="D134" s="91">
        <f>(C66*(1-'5.Closing Stock &amp; W Capital'!$D$15))*$C$134*D$124</f>
        <v>0</v>
      </c>
      <c r="E134" s="91">
        <f>((D66*(1-'5.Closing Stock &amp; W Capital'!$D$15))+(C66*'5.Closing Stock &amp; W Capital'!$D$15))*$C$135*E$124</f>
        <v>0</v>
      </c>
      <c r="F134" s="91">
        <f>((E66*(1-'5.Closing Stock &amp; W Capital'!$D$15))+(D66*'5.Closing Stock &amp; W Capital'!$D$15))*$C$135*F$124</f>
        <v>0</v>
      </c>
      <c r="G134" s="91">
        <f>((F66*(1-'5.Closing Stock &amp; W Capital'!$D$15))+(E66*'5.Closing Stock &amp; W Capital'!$D$15))*$C$135*G$124</f>
        <v>0</v>
      </c>
      <c r="H134" s="91">
        <f>((G66*(1-'5.Closing Stock &amp; W Capital'!$D$15))+(F66*'5.Closing Stock &amp; W Capital'!$D$15))*$C$135*H$124</f>
        <v>0</v>
      </c>
      <c r="I134" s="91">
        <f>((H66*(1-'5.Closing Stock &amp; W Capital'!$D$15))+(G66*'5.Closing Stock &amp; W Capital'!$D$15))*$C$135*I$124</f>
        <v>0</v>
      </c>
      <c r="J134" s="91">
        <f>((I66*(1-'5.Closing Stock &amp; W Capital'!$D$15))+(H66*'5.Closing Stock &amp; W Capital'!$D$15))*$C$135*J$124</f>
        <v>0</v>
      </c>
      <c r="K134" s="89"/>
      <c r="U134" s="89"/>
      <c r="V134" s="89"/>
      <c r="W134" s="89"/>
    </row>
    <row r="135" spans="1:23" x14ac:dyDescent="0.2">
      <c r="A135" s="90" t="str">
        <f t="shared" si="52"/>
        <v>Black Gram/Udid</v>
      </c>
      <c r="B135" s="90"/>
      <c r="C135" s="232">
        <v>75</v>
      </c>
      <c r="D135" s="91">
        <f>(C67*(1-'5.Closing Stock &amp; W Capital'!$D$15))*$C$135*D$124</f>
        <v>39849.975000000006</v>
      </c>
      <c r="E135" s="91">
        <f>((D67*(1-'5.Closing Stock &amp; W Capital'!$D$15))+(C67*'5.Closing Stock &amp; W Capital'!$D$15))*$C$135*E$124</f>
        <v>47495.434218750001</v>
      </c>
      <c r="F135" s="91">
        <f>((E67*(1-'5.Closing Stock &amp; W Capital'!$D$15))+(D67*'5.Closing Stock &amp; W Capital'!$D$15))*$C$135*F$124</f>
        <v>55417.503585937498</v>
      </c>
      <c r="G135" s="91">
        <f>((F67*(1-'5.Closing Stock &amp; W Capital'!$D$15))+(E67*'5.Closing Stock &amp; W Capital'!$D$15))*$C$135*G$124</f>
        <v>64013.041304296887</v>
      </c>
      <c r="H135" s="91">
        <f>((G67*(1-'5.Closing Stock &amp; W Capital'!$D$15))+(F67*'5.Closing Stock &amp; W Capital'!$D$15))*$C$135*H$124</f>
        <v>73329.589035527373</v>
      </c>
      <c r="I135" s="91">
        <f>((H67*(1-'5.Closing Stock &amp; W Capital'!$D$15))+(G67*'5.Closing Stock &amp; W Capital'!$D$15))*$C$135*I$124</f>
        <v>83417.758936620157</v>
      </c>
      <c r="J135" s="91">
        <f>((I67*(1-'5.Closing Stock &amp; W Capital'!$D$15))+(H67*'5.Closing Stock &amp; W Capital'!$D$15))*$C$135*J$124</f>
        <v>94331.421855233391</v>
      </c>
      <c r="K135" s="89"/>
      <c r="U135" s="89"/>
      <c r="V135" s="89"/>
      <c r="W135" s="89"/>
    </row>
    <row r="136" spans="1:23" x14ac:dyDescent="0.2">
      <c r="A136" s="90" t="str">
        <f t="shared" si="52"/>
        <v>Bajra</v>
      </c>
      <c r="B136" s="90"/>
      <c r="C136" s="232">
        <v>30</v>
      </c>
      <c r="D136" s="91">
        <f>(C68*(1-'5.Closing Stock &amp; W Capital'!$D$15))*$C$136*D$124</f>
        <v>5313.33</v>
      </c>
      <c r="E136" s="91">
        <f>((D68*(1-'5.Closing Stock &amp; W Capital'!$D$15))+(C68*'5.Closing Stock &amp; W Capital'!$D$15))*$C$136*E$124</f>
        <v>6332.7245624999996</v>
      </c>
      <c r="F136" s="91">
        <f>((E68*(1-'5.Closing Stock &amp; W Capital'!$D$15))+(D68*'5.Closing Stock &amp; W Capital'!$D$15))*$C$136*F$124</f>
        <v>7389.0004781250009</v>
      </c>
      <c r="G136" s="91">
        <f>((F68*(1-'5.Closing Stock &amp; W Capital'!$D$15))+(E68*'5.Closing Stock &amp; W Capital'!$D$15))*$C$136*G$124</f>
        <v>8535.0721739062519</v>
      </c>
      <c r="H136" s="91">
        <f>((G68*(1-'5.Closing Stock &amp; W Capital'!$D$15))+(F68*'5.Closing Stock &amp; W Capital'!$D$15))*$C$136*H$124</f>
        <v>9777.2785380703172</v>
      </c>
      <c r="I136" s="91">
        <f>((H68*(1-'5.Closing Stock &amp; W Capital'!$D$15))+(G68*'5.Closing Stock &amp; W Capital'!$D$15))*$C$136*I$124</f>
        <v>11122.367858216021</v>
      </c>
      <c r="J136" s="91">
        <f>((I68*(1-'5.Closing Stock &amp; W Capital'!$D$15))+(H68*'5.Closing Stock &amp; W Capital'!$D$15))*$C$136*J$124</f>
        <v>12577.522914031122</v>
      </c>
      <c r="K136" s="89"/>
      <c r="U136" s="89"/>
      <c r="V136" s="89"/>
      <c r="W136" s="89"/>
    </row>
    <row r="137" spans="1:23" x14ac:dyDescent="0.2">
      <c r="A137" s="90" t="str">
        <f t="shared" si="52"/>
        <v>Jawar</v>
      </c>
      <c r="B137" s="90"/>
      <c r="C137" s="232">
        <v>30</v>
      </c>
      <c r="D137" s="91">
        <f>(C69*(1-'5.Closing Stock &amp; W Capital'!$D$15))*$C$137*D$124</f>
        <v>0</v>
      </c>
      <c r="E137" s="91">
        <f>((D69*(1-'5.Closing Stock &amp; W Capital'!$D$15))+(C69*'5.Closing Stock &amp; W Capital'!$D$15))*$C$137*E$124</f>
        <v>0</v>
      </c>
      <c r="F137" s="91">
        <f>((E69*(1-'5.Closing Stock &amp; W Capital'!$D$15))+(D69*'5.Closing Stock &amp; W Capital'!$D$15))*$C$137*F$124</f>
        <v>0</v>
      </c>
      <c r="G137" s="91">
        <f>((F69*(1-'5.Closing Stock &amp; W Capital'!$D$15))+(E69*'5.Closing Stock &amp; W Capital'!$D$15))*$C$137*G$124</f>
        <v>0</v>
      </c>
      <c r="H137" s="91">
        <f>((G69*(1-'5.Closing Stock &amp; W Capital'!$D$15))+(F69*'5.Closing Stock &amp; W Capital'!$D$15))*$C$137*H$124</f>
        <v>0</v>
      </c>
      <c r="I137" s="91">
        <f>((H69*(1-'5.Closing Stock &amp; W Capital'!$D$15))+(G69*'5.Closing Stock &amp; W Capital'!$D$15))*$C$137*I$124</f>
        <v>0</v>
      </c>
      <c r="J137" s="91">
        <f>((I69*(1-'5.Closing Stock &amp; W Capital'!$D$15))+(H69*'5.Closing Stock &amp; W Capital'!$D$15))*$C$137*J$124</f>
        <v>0</v>
      </c>
      <c r="K137" s="89"/>
      <c r="U137" s="89"/>
      <c r="V137" s="89"/>
      <c r="W137" s="89"/>
    </row>
    <row r="138" spans="1:23" x14ac:dyDescent="0.2">
      <c r="A138" s="92" t="str">
        <f t="shared" si="52"/>
        <v>Rabi Crop</v>
      </c>
      <c r="B138" s="90"/>
      <c r="C138" s="232"/>
      <c r="D138" s="91"/>
      <c r="E138" s="91"/>
      <c r="F138" s="91"/>
      <c r="G138" s="91"/>
      <c r="H138" s="91"/>
      <c r="I138" s="91"/>
      <c r="J138" s="91"/>
      <c r="K138" s="89"/>
      <c r="U138" s="89"/>
      <c r="V138" s="89"/>
      <c r="W138" s="89"/>
    </row>
    <row r="139" spans="1:23" x14ac:dyDescent="0.2">
      <c r="A139" s="90" t="str">
        <f t="shared" si="52"/>
        <v>Wheat</v>
      </c>
      <c r="B139" s="90"/>
      <c r="C139" s="232">
        <v>40</v>
      </c>
      <c r="D139" s="91">
        <f>(C71*(1-'5.Closing Stock &amp; W Capital'!$D$15))*$C$139*D$124</f>
        <v>566755.19999999995</v>
      </c>
      <c r="E139" s="91">
        <f>((D71*(1-'5.Closing Stock &amp; W Capital'!$D$15))+(C71*'5.Closing Stock &amp; W Capital'!$D$15))*$C$139*E$124</f>
        <v>675490.62000000023</v>
      </c>
      <c r="F139" s="91">
        <f>((E71*(1-'5.Closing Stock &amp; W Capital'!$D$15))+(D71*'5.Closing Stock &amp; W Capital'!$D$15))*$C$139*F$124</f>
        <v>788160.05099999998</v>
      </c>
      <c r="G139" s="91">
        <f>((F71*(1-'5.Closing Stock &amp; W Capital'!$D$15))+(E71*'5.Closing Stock &amp; W Capital'!$D$15))*$C$139*G$124</f>
        <v>910407.69855000009</v>
      </c>
      <c r="H139" s="91">
        <f>((G71*(1-'5.Closing Stock &amp; W Capital'!$D$15))+(F71*'5.Closing Stock &amp; W Capital'!$D$15))*$C$139*H$124</f>
        <v>1042909.7107275003</v>
      </c>
      <c r="I139" s="91">
        <f>((H71*(1-'5.Closing Stock &amp; W Capital'!$D$15))+(G71*'5.Closing Stock &amp; W Capital'!$D$15))*$C$139*I$124</f>
        <v>1186385.9048763756</v>
      </c>
      <c r="J139" s="91">
        <f>((I71*(1-'5.Closing Stock &amp; W Capital'!$D$15))+(H71*'5.Closing Stock &amp; W Capital'!$D$15))*$C$139*J$124</f>
        <v>1341602.4441633194</v>
      </c>
      <c r="K139" s="89"/>
      <c r="U139" s="89"/>
      <c r="V139" s="89"/>
      <c r="W139" s="89"/>
    </row>
    <row r="140" spans="1:23" x14ac:dyDescent="0.2">
      <c r="A140" s="90" t="str">
        <f t="shared" si="52"/>
        <v>Bengal Gram/Channa</v>
      </c>
      <c r="B140" s="90"/>
      <c r="C140" s="232">
        <v>75</v>
      </c>
      <c r="D140" s="91">
        <f>(C72*(1-'5.Closing Stock &amp; W Capital'!$D$15))*$C$140*D$124</f>
        <v>1593999</v>
      </c>
      <c r="E140" s="91">
        <f>((D72*(1-'5.Closing Stock &amp; W Capital'!$D$15))+(C72*'5.Closing Stock &amp; W Capital'!$D$15))*$C$140*E$124</f>
        <v>1899817.3687500004</v>
      </c>
      <c r="F140" s="91">
        <f>((E72*(1-'5.Closing Stock &amp; W Capital'!$D$15))+(D72*'5.Closing Stock &amp; W Capital'!$D$15))*$C$140*F$124</f>
        <v>2216700.1434375001</v>
      </c>
      <c r="G140" s="91">
        <f>((F72*(1-'5.Closing Stock &amp; W Capital'!$D$15))+(E72*'5.Closing Stock &amp; W Capital'!$D$15))*$C$140*G$124</f>
        <v>2560521.6521718754</v>
      </c>
      <c r="H140" s="91">
        <f>((G72*(1-'5.Closing Stock &amp; W Capital'!$D$15))+(F72*'5.Closing Stock &amp; W Capital'!$D$15))*$C$140*H$124</f>
        <v>2933183.5614210949</v>
      </c>
      <c r="I140" s="91">
        <f>((H72*(1-'5.Closing Stock &amp; W Capital'!$D$15))+(G72*'5.Closing Stock &amp; W Capital'!$D$15))*$C$140*I$124</f>
        <v>3336710.3574648057</v>
      </c>
      <c r="J140" s="91">
        <f>((I72*(1-'5.Closing Stock &amp; W Capital'!$D$15))+(H72*'5.Closing Stock &amp; W Capital'!$D$15))*$C$140*J$124</f>
        <v>3773256.874209336</v>
      </c>
      <c r="K140" s="89"/>
      <c r="U140" s="89"/>
      <c r="V140" s="89"/>
      <c r="W140" s="89"/>
    </row>
    <row r="141" spans="1:23" x14ac:dyDescent="0.2">
      <c r="A141" s="90" t="str">
        <f t="shared" si="52"/>
        <v>Jawar</v>
      </c>
      <c r="B141" s="90"/>
      <c r="C141" s="232">
        <v>27</v>
      </c>
      <c r="D141" s="91">
        <f>(C73*(1-'5.Closing Stock &amp; W Capital'!$D$15))*$C$141*D$124</f>
        <v>47819.969999999994</v>
      </c>
      <c r="E141" s="91">
        <f>((D73*(1-'5.Closing Stock &amp; W Capital'!$D$15))+(C73*'5.Closing Stock &amp; W Capital'!$D$15))*$C$141*E$124</f>
        <v>56994.521062500011</v>
      </c>
      <c r="F141" s="91">
        <f>((E73*(1-'5.Closing Stock &amp; W Capital'!$D$15))+(D73*'5.Closing Stock &amp; W Capital'!$D$15))*$C$141*F$124</f>
        <v>66501.004303124995</v>
      </c>
      <c r="G141" s="91">
        <f>((F73*(1-'5.Closing Stock &amp; W Capital'!$D$15))+(E73*'5.Closing Stock &amp; W Capital'!$D$15))*$C$141*G$124</f>
        <v>76815.649565156258</v>
      </c>
      <c r="H141" s="91">
        <f>((G73*(1-'5.Closing Stock &amp; W Capital'!$D$15))+(F73*'5.Closing Stock &amp; W Capital'!$D$15))*$C$141*H$124</f>
        <v>87995.506842632822</v>
      </c>
      <c r="I141" s="91">
        <f>((H73*(1-'5.Closing Stock &amp; W Capital'!$D$15))+(G73*'5.Closing Stock &amp; W Capital'!$D$15))*$C$141*I$124</f>
        <v>100101.31072394419</v>
      </c>
      <c r="J141" s="91">
        <f>((I73*(1-'5.Closing Stock &amp; W Capital'!$D$15))+(H73*'5.Closing Stock &amp; W Capital'!$D$15))*$C$141*J$124</f>
        <v>113197.70622628008</v>
      </c>
      <c r="K141" s="89"/>
      <c r="U141" s="89"/>
      <c r="V141" s="89"/>
      <c r="W141" s="89"/>
    </row>
    <row r="142" spans="1:23" x14ac:dyDescent="0.2">
      <c r="A142" s="90" t="str">
        <f t="shared" si="52"/>
        <v>Maize</v>
      </c>
      <c r="B142" s="90"/>
      <c r="C142" s="232">
        <v>27</v>
      </c>
      <c r="D142" s="91">
        <f>(C74*(1-'5.Closing Stock &amp; W Capital'!$D$15))*$C$142*D$124</f>
        <v>19127.987999999998</v>
      </c>
      <c r="E142" s="91">
        <f>((D74*(1-'5.Closing Stock &amp; W Capital'!$D$15))+(C74*'5.Closing Stock &amp; W Capital'!$D$15))*$C$142*E$124</f>
        <v>22797.808424999999</v>
      </c>
      <c r="F142" s="91">
        <f>((E74*(1-'5.Closing Stock &amp; W Capital'!$D$15))+(D74*'5.Closing Stock &amp; W Capital'!$D$15))*$C$142*F$124</f>
        <v>26600.40172125</v>
      </c>
      <c r="G142" s="91">
        <f>((F74*(1-'5.Closing Stock &amp; W Capital'!$D$15))+(E74*'5.Closing Stock &amp; W Capital'!$D$15))*$C$142*G$124</f>
        <v>30726.259826062505</v>
      </c>
      <c r="H142" s="91">
        <f>((G74*(1-'5.Closing Stock &amp; W Capital'!$D$15))+(F74*'5.Closing Stock &amp; W Capital'!$D$15))*$C$142*H$124</f>
        <v>35198.202737053143</v>
      </c>
      <c r="I142" s="91">
        <f>((H74*(1-'5.Closing Stock &amp; W Capital'!$D$15))+(G74*'5.Closing Stock &amp; W Capital'!$D$15))*$C$142*I$124</f>
        <v>40040.524289577676</v>
      </c>
      <c r="J142" s="91">
        <f>((I74*(1-'5.Closing Stock &amp; W Capital'!$D$15))+(H74*'5.Closing Stock &amp; W Capital'!$D$15))*$C$142*J$124</f>
        <v>45279.082490512039</v>
      </c>
      <c r="K142" s="89"/>
      <c r="U142" s="89"/>
      <c r="V142" s="89"/>
      <c r="W142" s="89"/>
    </row>
    <row r="143" spans="1:23" x14ac:dyDescent="0.2">
      <c r="A143" s="90" t="str">
        <f t="shared" si="52"/>
        <v>Safflower</v>
      </c>
      <c r="B143" s="90"/>
      <c r="C143" s="232">
        <v>80</v>
      </c>
      <c r="D143" s="91">
        <f>(C75*(1-'5.Closing Stock &amp; W Capital'!$D$15))*$C$143*D$124</f>
        <v>0</v>
      </c>
      <c r="E143" s="91">
        <f>((D75*(1-'5.Closing Stock &amp; W Capital'!$D$15))+(C75*'5.Closing Stock &amp; W Capital'!$D$15))*$C$143*E$124</f>
        <v>0</v>
      </c>
      <c r="F143" s="91">
        <f>((E75*(1-'5.Closing Stock &amp; W Capital'!$D$15))+(D75*'5.Closing Stock &amp; W Capital'!$D$15))*$C$143*F$124</f>
        <v>0</v>
      </c>
      <c r="G143" s="91">
        <f>((F75*(1-'5.Closing Stock &amp; W Capital'!$D$15))+(E75*'5.Closing Stock &amp; W Capital'!$D$15))*$C$143*G$124</f>
        <v>0</v>
      </c>
      <c r="H143" s="91">
        <f>((G75*(1-'5.Closing Stock &amp; W Capital'!$D$15))+(F75*'5.Closing Stock &amp; W Capital'!$D$15))*$C$143*H$124</f>
        <v>0</v>
      </c>
      <c r="I143" s="91">
        <f>((H75*(1-'5.Closing Stock &amp; W Capital'!$D$15))+(G75*'5.Closing Stock &amp; W Capital'!$D$15))*$C$143*I$124</f>
        <v>0</v>
      </c>
      <c r="J143" s="91">
        <f>((I75*(1-'5.Closing Stock &amp; W Capital'!$D$15))+(H75*'5.Closing Stock &amp; W Capital'!$D$15))*$C$143*J$124</f>
        <v>0</v>
      </c>
      <c r="K143" s="89"/>
      <c r="U143" s="89"/>
      <c r="V143" s="89"/>
      <c r="W143" s="89"/>
    </row>
    <row r="144" spans="1:23" x14ac:dyDescent="0.2">
      <c r="A144" s="90">
        <f t="shared" si="52"/>
        <v>0</v>
      </c>
      <c r="B144" s="90"/>
      <c r="C144" s="232"/>
      <c r="D144" s="91">
        <f>(C76*(1-'5.Closing Stock &amp; W Capital'!$D$15))*$C$144*D$124</f>
        <v>0</v>
      </c>
      <c r="E144" s="91">
        <f>((D76*(1-'5.Closing Stock &amp; W Capital'!$D$15))+(C76*'5.Closing Stock &amp; W Capital'!$D$15))*$C$144*E$124</f>
        <v>0</v>
      </c>
      <c r="F144" s="91">
        <f>((E76*(1-'5.Closing Stock &amp; W Capital'!$D$15))+(D76*'5.Closing Stock &amp; W Capital'!$D$15))*$C$144*F$124</f>
        <v>0</v>
      </c>
      <c r="G144" s="91">
        <f>((F76*(1-'5.Closing Stock &amp; W Capital'!$D$15))+(E76*'5.Closing Stock &amp; W Capital'!$D$15))*$C$144*G$124</f>
        <v>0</v>
      </c>
      <c r="H144" s="91">
        <f>((G76*(1-'5.Closing Stock &amp; W Capital'!$D$15))+(F76*'5.Closing Stock &amp; W Capital'!$D$15))*$C$144*H$124</f>
        <v>0</v>
      </c>
      <c r="I144" s="91">
        <f>((H76*(1-'5.Closing Stock &amp; W Capital'!$D$15))+(G76*'5.Closing Stock &amp; W Capital'!$D$15))*$C$144*I$124</f>
        <v>0</v>
      </c>
      <c r="J144" s="91">
        <f>((I76*(1-'5.Closing Stock &amp; W Capital'!$D$15))+(H76*'5.Closing Stock &amp; W Capital'!$D$15))*$C$144*J$124</f>
        <v>0</v>
      </c>
      <c r="K144" s="89"/>
      <c r="U144" s="89"/>
      <c r="V144" s="89"/>
      <c r="W144" s="89"/>
    </row>
    <row r="145" spans="1:23" x14ac:dyDescent="0.2">
      <c r="A145" s="90">
        <f t="shared" si="52"/>
        <v>0</v>
      </c>
      <c r="B145" s="90"/>
      <c r="C145" s="232"/>
      <c r="D145" s="91">
        <f>(C77*(1-'5.Closing Stock &amp; W Capital'!$D$15))*$C$145*D$124</f>
        <v>0</v>
      </c>
      <c r="E145" s="91">
        <f>((D77*(1-'5.Closing Stock &amp; W Capital'!$D$15))+(C77*'5.Closing Stock &amp; W Capital'!$D$15))*$C$145*E$124</f>
        <v>0</v>
      </c>
      <c r="F145" s="91">
        <f>((E77*(1-'5.Closing Stock &amp; W Capital'!$D$15))+(D77*'5.Closing Stock &amp; W Capital'!$D$15))*$C$145*F$124</f>
        <v>0</v>
      </c>
      <c r="G145" s="91">
        <f>((F77*(1-'5.Closing Stock &amp; W Capital'!$D$15))+(E77*'5.Closing Stock &amp; W Capital'!$D$15))*$C$145*G$124</f>
        <v>0</v>
      </c>
      <c r="H145" s="91">
        <f>((G77*(1-'5.Closing Stock &amp; W Capital'!$D$15))+(F77*'5.Closing Stock &amp; W Capital'!$D$15))*$C$145*H$124</f>
        <v>0</v>
      </c>
      <c r="I145" s="91">
        <f>((H77*(1-'5.Closing Stock &amp; W Capital'!$D$15))+(G77*'5.Closing Stock &amp; W Capital'!$D$15))*$C$145*I$124</f>
        <v>0</v>
      </c>
      <c r="J145" s="91">
        <f>((I77*(1-'5.Closing Stock &amp; W Capital'!$D$15))+(H77*'5.Closing Stock &amp; W Capital'!$D$15))*$C$145*J$124</f>
        <v>0</v>
      </c>
      <c r="K145" s="89"/>
      <c r="U145" s="89"/>
      <c r="V145" s="89"/>
      <c r="W145" s="89"/>
    </row>
    <row r="146" spans="1:23" x14ac:dyDescent="0.2">
      <c r="A146" s="90">
        <f t="shared" si="52"/>
        <v>0</v>
      </c>
      <c r="B146" s="90"/>
      <c r="C146" s="232"/>
      <c r="D146" s="91">
        <f>(C78*(1-'5.Closing Stock &amp; W Capital'!$D$15))*$C$146*D$124</f>
        <v>0</v>
      </c>
      <c r="E146" s="91">
        <f>((D78*(1-'5.Closing Stock &amp; W Capital'!$D$15))+(C78*'5.Closing Stock &amp; W Capital'!$D$15))*$C$146*E$124</f>
        <v>0</v>
      </c>
      <c r="F146" s="91">
        <f>((E78*(1-'5.Closing Stock &amp; W Capital'!$D$15))+(D78*'5.Closing Stock &amp; W Capital'!$D$15))*$C$146*F$124</f>
        <v>0</v>
      </c>
      <c r="G146" s="91">
        <f>((F78*(1-'5.Closing Stock &amp; W Capital'!$D$15))+(E78*'5.Closing Stock &amp; W Capital'!$D$15))*$C$146*G$124</f>
        <v>0</v>
      </c>
      <c r="H146" s="91">
        <f>((G78*(1-'5.Closing Stock &amp; W Capital'!$D$15))+(F78*'5.Closing Stock &amp; W Capital'!$D$15))*$C$146*H$124</f>
        <v>0</v>
      </c>
      <c r="I146" s="91">
        <f>((H78*(1-'5.Closing Stock &amp; W Capital'!$D$15))+(G78*'5.Closing Stock &amp; W Capital'!$D$15))*$C$146*I$124</f>
        <v>0</v>
      </c>
      <c r="J146" s="91">
        <f>((I78*(1-'5.Closing Stock &amp; W Capital'!$D$15))+(H78*'5.Closing Stock &amp; W Capital'!$D$15))*$C$146*J$124</f>
        <v>0</v>
      </c>
      <c r="K146" s="89"/>
      <c r="U146" s="89"/>
      <c r="V146" s="89"/>
      <c r="W146" s="89"/>
    </row>
    <row r="147" spans="1:23" x14ac:dyDescent="0.2">
      <c r="A147" s="92" t="str">
        <f t="shared" si="52"/>
        <v>Summer</v>
      </c>
      <c r="B147" s="90"/>
      <c r="C147" s="232"/>
      <c r="D147" s="91"/>
      <c r="E147" s="91"/>
      <c r="F147" s="91"/>
      <c r="G147" s="91"/>
      <c r="H147" s="91"/>
      <c r="I147" s="91"/>
      <c r="J147" s="91"/>
      <c r="K147" s="89"/>
      <c r="U147" s="89"/>
      <c r="V147" s="89"/>
      <c r="W147" s="89"/>
    </row>
    <row r="148" spans="1:23" x14ac:dyDescent="0.2">
      <c r="A148" s="90" t="str">
        <f t="shared" si="52"/>
        <v>Groundnut</v>
      </c>
      <c r="B148" s="90"/>
      <c r="C148" s="232"/>
      <c r="D148" s="91">
        <f>(C80*(1-'5.Closing Stock &amp; W Capital'!$D$15))*$C$148*D$124</f>
        <v>0</v>
      </c>
      <c r="E148" s="91">
        <f>((D80*(1-'5.Closing Stock &amp; W Capital'!$D$15))+(C80*'5.Closing Stock &amp; W Capital'!$D$15))*$C$148*E$124</f>
        <v>0</v>
      </c>
      <c r="F148" s="91">
        <f>((E80*(1-'5.Closing Stock &amp; W Capital'!$D$15))+(D80*'5.Closing Stock &amp; W Capital'!$D$15))*$C$148*F$124</f>
        <v>0</v>
      </c>
      <c r="G148" s="91">
        <f>((F80*(1-'5.Closing Stock &amp; W Capital'!$D$15))+(E80*'5.Closing Stock &amp; W Capital'!$D$15))*$C$148*G$124</f>
        <v>0</v>
      </c>
      <c r="H148" s="91">
        <f>((G80*(1-'5.Closing Stock &amp; W Capital'!$D$15))+(F80*'5.Closing Stock &amp; W Capital'!$D$15))*$C$148*H$124</f>
        <v>0</v>
      </c>
      <c r="I148" s="91">
        <f>((H80*(1-'5.Closing Stock &amp; W Capital'!$D$15))+(G80*'5.Closing Stock &amp; W Capital'!$D$15))*$C$148*I$124</f>
        <v>0</v>
      </c>
      <c r="J148" s="91">
        <f>((I80*(1-'5.Closing Stock &amp; W Capital'!$D$15))+(H80*'5.Closing Stock &amp; W Capital'!$D$15))*$C$148*J$124</f>
        <v>0</v>
      </c>
      <c r="K148" s="89"/>
      <c r="U148" s="89"/>
      <c r="V148" s="89"/>
      <c r="W148" s="89"/>
    </row>
    <row r="149" spans="1:23" x14ac:dyDescent="0.2">
      <c r="A149" s="90">
        <f t="shared" si="52"/>
        <v>0</v>
      </c>
      <c r="B149" s="90"/>
      <c r="C149" s="232"/>
      <c r="D149" s="91">
        <f>(C81*(1-'5.Closing Stock &amp; W Capital'!$D$15))*$C$149*D$124</f>
        <v>0</v>
      </c>
      <c r="E149" s="91">
        <f>((D81*(1-'5.Closing Stock &amp; W Capital'!$D$15))+(C81*'5.Closing Stock &amp; W Capital'!$D$15))*$C$149*E$124</f>
        <v>0</v>
      </c>
      <c r="F149" s="91">
        <f>((E81*(1-'5.Closing Stock &amp; W Capital'!$D$15))+(D81*'5.Closing Stock &amp; W Capital'!$D$15))*$C$149*F$124</f>
        <v>0</v>
      </c>
      <c r="G149" s="91">
        <f>((F81*(1-'5.Closing Stock &amp; W Capital'!$D$15))+(E81*'5.Closing Stock &amp; W Capital'!$D$15))*$C$149*G$124</f>
        <v>0</v>
      </c>
      <c r="H149" s="91">
        <f>((G81*(1-'5.Closing Stock &amp; W Capital'!$D$15))+(F81*'5.Closing Stock &amp; W Capital'!$D$15))*$C$149*H$124</f>
        <v>0</v>
      </c>
      <c r="I149" s="91">
        <f>((H81*(1-'5.Closing Stock &amp; W Capital'!$D$15))+(G81*'5.Closing Stock &amp; W Capital'!$D$15))*$C$149*I$124</f>
        <v>0</v>
      </c>
      <c r="J149" s="91">
        <f>((I81*(1-'5.Closing Stock &amp; W Capital'!$D$15))+(H81*'5.Closing Stock &amp; W Capital'!$D$15))*$C$149*J$124</f>
        <v>0</v>
      </c>
      <c r="K149" s="89"/>
      <c r="U149" s="89"/>
      <c r="V149" s="89"/>
      <c r="W149" s="89"/>
    </row>
    <row r="150" spans="1:23" x14ac:dyDescent="0.2">
      <c r="A150" s="90">
        <f t="shared" si="52"/>
        <v>0</v>
      </c>
      <c r="B150" s="90"/>
      <c r="C150" s="232"/>
      <c r="D150" s="91">
        <f>(C82*(1-'5.Closing Stock &amp; W Capital'!$D$15))*$C$150*D$124</f>
        <v>0</v>
      </c>
      <c r="E150" s="91">
        <f>((D82*(1-'5.Closing Stock &amp; W Capital'!$D$15))+(C82*'5.Closing Stock &amp; W Capital'!$D$15))*$C$150*E$124</f>
        <v>0</v>
      </c>
      <c r="F150" s="91">
        <f>((E82*(1-'5.Closing Stock &amp; W Capital'!$D$15))+(D82*'5.Closing Stock &amp; W Capital'!$D$15))*$C$150*F$124</f>
        <v>0</v>
      </c>
      <c r="G150" s="91">
        <f>((F82*(1-'5.Closing Stock &amp; W Capital'!$D$15))+(E82*'5.Closing Stock &amp; W Capital'!$D$15))*$C$150*G$124</f>
        <v>0</v>
      </c>
      <c r="H150" s="91">
        <f>((G82*(1-'5.Closing Stock &amp; W Capital'!$D$15))+(F82*'5.Closing Stock &amp; W Capital'!$D$15))*$C$150*H$124</f>
        <v>0</v>
      </c>
      <c r="I150" s="91">
        <f>((H82*(1-'5.Closing Stock &amp; W Capital'!$D$15))+(G82*'5.Closing Stock &amp; W Capital'!$D$15))*$C$150*I$124</f>
        <v>0</v>
      </c>
      <c r="J150" s="91">
        <f>((I82*(1-'5.Closing Stock &amp; W Capital'!$D$15))+(H82*'5.Closing Stock &amp; W Capital'!$D$15))*$C$150*J$124</f>
        <v>0</v>
      </c>
      <c r="K150" s="89"/>
      <c r="U150" s="89"/>
      <c r="V150" s="89"/>
      <c r="W150" s="89"/>
    </row>
    <row r="151" spans="1:23" x14ac:dyDescent="0.2">
      <c r="A151" s="90">
        <f t="shared" si="52"/>
        <v>0</v>
      </c>
      <c r="B151" s="90"/>
      <c r="C151" s="232"/>
      <c r="D151" s="91">
        <f>(C83*(1-'5.Closing Stock &amp; W Capital'!$D$15))*$C$151*D$124</f>
        <v>0</v>
      </c>
      <c r="E151" s="91">
        <f>((D83*(1-'5.Closing Stock &amp; W Capital'!$D$15))+(C83*'5.Closing Stock &amp; W Capital'!$D$15))*$C$151*E$124</f>
        <v>0</v>
      </c>
      <c r="F151" s="91">
        <f>((E83*(1-'5.Closing Stock &amp; W Capital'!$D$15))+(D83*'5.Closing Stock &amp; W Capital'!$D$15))*$C$151*F$124</f>
        <v>0</v>
      </c>
      <c r="G151" s="91">
        <f>((F83*(1-'5.Closing Stock &amp; W Capital'!$D$15))+(E83*'5.Closing Stock &amp; W Capital'!$D$15))*$C$151*G$124</f>
        <v>0</v>
      </c>
      <c r="H151" s="91">
        <f>((G83*(1-'5.Closing Stock &amp; W Capital'!$D$15))+(F83*'5.Closing Stock &amp; W Capital'!$D$15))*$C$151*H$124</f>
        <v>0</v>
      </c>
      <c r="I151" s="91">
        <f>((H83*(1-'5.Closing Stock &amp; W Capital'!$D$15))+(G83*'5.Closing Stock &amp; W Capital'!$D$15))*$C$151*I$124</f>
        <v>0</v>
      </c>
      <c r="J151" s="91">
        <f>((I83*(1-'5.Closing Stock &amp; W Capital'!$D$15))+(H83*'5.Closing Stock &amp; W Capital'!$D$15))*$C$151*J$124</f>
        <v>0</v>
      </c>
      <c r="K151" s="89"/>
      <c r="U151" s="89"/>
      <c r="V151" s="89"/>
      <c r="W151" s="89"/>
    </row>
    <row r="152" spans="1:23" x14ac:dyDescent="0.2">
      <c r="A152" s="90">
        <f t="shared" si="52"/>
        <v>0</v>
      </c>
      <c r="B152" s="90"/>
      <c r="C152" s="232"/>
      <c r="D152" s="91">
        <f>(C84*(1-'5.Closing Stock &amp; W Capital'!$D$15))*$C$152*D$124</f>
        <v>0</v>
      </c>
      <c r="E152" s="91">
        <f>((D84*(1-'5.Closing Stock &amp; W Capital'!$D$15))+(C84*'5.Closing Stock &amp; W Capital'!$D$15))*$C$152*E$124</f>
        <v>0</v>
      </c>
      <c r="F152" s="91">
        <f>((E84*(1-'5.Closing Stock &amp; W Capital'!$D$15))+(D84*'5.Closing Stock &amp; W Capital'!$D$15))*$C$152*F$124</f>
        <v>0</v>
      </c>
      <c r="G152" s="91">
        <f>((F84*(1-'5.Closing Stock &amp; W Capital'!$D$15))+(E84*'5.Closing Stock &amp; W Capital'!$D$15))*$C$152*G$124</f>
        <v>0</v>
      </c>
      <c r="H152" s="91">
        <f>((G84*(1-'5.Closing Stock &amp; W Capital'!$D$15))+(F84*'5.Closing Stock &amp; W Capital'!$D$15))*$C$152*H$124</f>
        <v>0</v>
      </c>
      <c r="I152" s="91">
        <f>((H84*(1-'5.Closing Stock &amp; W Capital'!$D$15))+(G84*'5.Closing Stock &amp; W Capital'!$D$15))*$C$152*I$124</f>
        <v>0</v>
      </c>
      <c r="J152" s="91">
        <f>((I84*(1-'5.Closing Stock &amp; W Capital'!$D$15))+(H84*'5.Closing Stock &amp; W Capital'!$D$15))*$C$152*J$124</f>
        <v>0</v>
      </c>
      <c r="K152" s="89"/>
      <c r="U152" s="89"/>
      <c r="V152" s="89"/>
      <c r="W152" s="89"/>
    </row>
    <row r="153" spans="1:23" x14ac:dyDescent="0.2">
      <c r="A153" s="90" t="str">
        <f t="shared" si="52"/>
        <v>Fruit  &amp; Vegetables Crop Production Details</v>
      </c>
      <c r="B153" s="90"/>
      <c r="C153" s="232"/>
      <c r="D153" s="91"/>
      <c r="E153" s="91"/>
      <c r="F153" s="91"/>
      <c r="G153" s="91"/>
      <c r="H153" s="91"/>
      <c r="I153" s="91"/>
      <c r="J153" s="91"/>
      <c r="K153" s="89"/>
      <c r="U153" s="89"/>
      <c r="V153" s="89"/>
      <c r="W153" s="89"/>
    </row>
    <row r="154" spans="1:23" x14ac:dyDescent="0.2">
      <c r="A154" s="90" t="str">
        <f t="shared" si="52"/>
        <v>Onion</v>
      </c>
      <c r="B154" s="90"/>
      <c r="C154" s="232"/>
      <c r="D154" s="91">
        <f>(C86*(1-'5.Closing Stock &amp; W Capital'!$D$15))*$C154*D$124</f>
        <v>0</v>
      </c>
      <c r="E154" s="91">
        <f>((D86*(1-'5.Closing Stock &amp; W Capital'!$D$15))+(C86*'5.Closing Stock &amp; W Capital'!$D$15))*$C154*E$124</f>
        <v>0</v>
      </c>
      <c r="F154" s="91">
        <f>((E86*(1-'5.Closing Stock &amp; W Capital'!$D$15))+(D86*'5.Closing Stock &amp; W Capital'!$D$15))*$C$152*F$124</f>
        <v>0</v>
      </c>
      <c r="G154" s="91">
        <f>((F86*(1-'5.Closing Stock &amp; W Capital'!$D$15))+(E86*'5.Closing Stock &amp; W Capital'!$D$15))*$C$152*G$124</f>
        <v>0</v>
      </c>
      <c r="H154" s="91">
        <f>((G86*(1-'5.Closing Stock &amp; W Capital'!$D$15))+(F86*'5.Closing Stock &amp; W Capital'!$D$15))*$C$152*H$124</f>
        <v>0</v>
      </c>
      <c r="I154" s="91">
        <f>((H86*(1-'5.Closing Stock &amp; W Capital'!$D$15))+(G86*'5.Closing Stock &amp; W Capital'!$D$15))*$C$152*I$124</f>
        <v>0</v>
      </c>
      <c r="J154" s="91">
        <f>((I86*(1-'5.Closing Stock &amp; W Capital'!$D$15))+(H86*'5.Closing Stock &amp; W Capital'!$D$15))*$C$152*J$124</f>
        <v>0</v>
      </c>
      <c r="K154" s="89"/>
      <c r="U154" s="89"/>
      <c r="V154" s="89"/>
      <c r="W154" s="89"/>
    </row>
    <row r="155" spans="1:23" x14ac:dyDescent="0.2">
      <c r="A155" s="90" t="str">
        <f t="shared" si="52"/>
        <v>Tomato</v>
      </c>
      <c r="B155" s="90"/>
      <c r="C155" s="232"/>
      <c r="D155" s="91">
        <f>(C87*(1-'5.Closing Stock &amp; W Capital'!$D$15))*$C155*D$124</f>
        <v>0</v>
      </c>
      <c r="E155" s="91">
        <f>((D87*(1-'5.Closing Stock &amp; W Capital'!$D$15))+(C87*'5.Closing Stock &amp; W Capital'!$D$15))*$C155*E$124</f>
        <v>0</v>
      </c>
      <c r="F155" s="91">
        <f>((E87*(1-'5.Closing Stock &amp; W Capital'!$D$15))+(D87*'5.Closing Stock &amp; W Capital'!$D$15))*$C$152*F$124</f>
        <v>0</v>
      </c>
      <c r="G155" s="91">
        <f>((F87*(1-'5.Closing Stock &amp; W Capital'!$D$15))+(E87*'5.Closing Stock &amp; W Capital'!$D$15))*$C$152*G$124</f>
        <v>0</v>
      </c>
      <c r="H155" s="91">
        <f>((G87*(1-'5.Closing Stock &amp; W Capital'!$D$15))+(F87*'5.Closing Stock &amp; W Capital'!$D$15))*$C$152*H$124</f>
        <v>0</v>
      </c>
      <c r="I155" s="91">
        <f>((H87*(1-'5.Closing Stock &amp; W Capital'!$D$15))+(G87*'5.Closing Stock &amp; W Capital'!$D$15))*$C$152*I$124</f>
        <v>0</v>
      </c>
      <c r="J155" s="91">
        <f>((I87*(1-'5.Closing Stock &amp; W Capital'!$D$15))+(H87*'5.Closing Stock &amp; W Capital'!$D$15))*$C$152*J$124</f>
        <v>0</v>
      </c>
      <c r="K155" s="89"/>
      <c r="U155" s="89"/>
      <c r="V155" s="89"/>
      <c r="W155" s="89"/>
    </row>
    <row r="156" spans="1:23" x14ac:dyDescent="0.2">
      <c r="A156" s="90" t="str">
        <f t="shared" si="52"/>
        <v>Okra</v>
      </c>
      <c r="B156" s="90"/>
      <c r="C156" s="232"/>
      <c r="D156" s="91">
        <f>(C88*(1-'5.Closing Stock &amp; W Capital'!$D$15))*$C156*D$124</f>
        <v>0</v>
      </c>
      <c r="E156" s="91">
        <f>((D88*(1-'5.Closing Stock &amp; W Capital'!$D$15))+(C88*'5.Closing Stock &amp; W Capital'!$D$15))*$C156*E$124</f>
        <v>0</v>
      </c>
      <c r="F156" s="91">
        <f>((E88*(1-'5.Closing Stock &amp; W Capital'!$D$15))+(D88*'5.Closing Stock &amp; W Capital'!$D$15))*$C$152*F$124</f>
        <v>0</v>
      </c>
      <c r="G156" s="91">
        <f>((F88*(1-'5.Closing Stock &amp; W Capital'!$D$15))+(E88*'5.Closing Stock &amp; W Capital'!$D$15))*$C$152*G$124</f>
        <v>0</v>
      </c>
      <c r="H156" s="91">
        <f>((G88*(1-'5.Closing Stock &amp; W Capital'!$D$15))+(F88*'5.Closing Stock &amp; W Capital'!$D$15))*$C$152*H$124</f>
        <v>0</v>
      </c>
      <c r="I156" s="91">
        <f>((H88*(1-'5.Closing Stock &amp; W Capital'!$D$15))+(G88*'5.Closing Stock &amp; W Capital'!$D$15))*$C$152*I$124</f>
        <v>0</v>
      </c>
      <c r="J156" s="91">
        <f>((I88*(1-'5.Closing Stock &amp; W Capital'!$D$15))+(H88*'5.Closing Stock &amp; W Capital'!$D$15))*$C$152*J$124</f>
        <v>0</v>
      </c>
      <c r="K156" s="89"/>
      <c r="U156" s="89"/>
      <c r="V156" s="89"/>
      <c r="W156" s="89"/>
    </row>
    <row r="157" spans="1:23" x14ac:dyDescent="0.2">
      <c r="A157" s="90" t="str">
        <f t="shared" si="52"/>
        <v>Chilli</v>
      </c>
      <c r="B157" s="90"/>
      <c r="C157" s="232"/>
      <c r="D157" s="91">
        <f>(C89*(1-'5.Closing Stock &amp; W Capital'!$D$15))*$C157*D$124</f>
        <v>0</v>
      </c>
      <c r="E157" s="91">
        <f>((D89*(1-'5.Closing Stock &amp; W Capital'!$D$15))+(C89*'5.Closing Stock &amp; W Capital'!$D$15))*$C157*E$124</f>
        <v>0</v>
      </c>
      <c r="F157" s="91">
        <f>((E89*(1-'5.Closing Stock &amp; W Capital'!$D$15))+(D89*'5.Closing Stock &amp; W Capital'!$D$15))*$C$152*F$124</f>
        <v>0</v>
      </c>
      <c r="G157" s="91">
        <f>((F89*(1-'5.Closing Stock &amp; W Capital'!$D$15))+(E89*'5.Closing Stock &amp; W Capital'!$D$15))*$C$152*G$124</f>
        <v>0</v>
      </c>
      <c r="H157" s="91">
        <f>((G89*(1-'5.Closing Stock &amp; W Capital'!$D$15))+(F89*'5.Closing Stock &amp; W Capital'!$D$15))*$C$152*H$124</f>
        <v>0</v>
      </c>
      <c r="I157" s="91">
        <f>((H89*(1-'5.Closing Stock &amp; W Capital'!$D$15))+(G89*'5.Closing Stock &amp; W Capital'!$D$15))*$C$152*I$124</f>
        <v>0</v>
      </c>
      <c r="J157" s="91">
        <f>((I89*(1-'5.Closing Stock &amp; W Capital'!$D$15))+(H89*'5.Closing Stock &amp; W Capital'!$D$15))*$C$152*J$124</f>
        <v>0</v>
      </c>
      <c r="K157" s="89"/>
      <c r="U157" s="89"/>
      <c r="V157" s="89"/>
      <c r="W157" s="89"/>
    </row>
    <row r="158" spans="1:23" x14ac:dyDescent="0.2">
      <c r="A158" s="90" t="str">
        <f t="shared" si="52"/>
        <v>Potato</v>
      </c>
      <c r="B158" s="90"/>
      <c r="C158" s="232"/>
      <c r="D158" s="91">
        <f>(C90*(1-'5.Closing Stock &amp; W Capital'!$D$15))*$C158*D$124</f>
        <v>0</v>
      </c>
      <c r="E158" s="91">
        <f>((D90*(1-'5.Closing Stock &amp; W Capital'!$D$15))+(C90*'5.Closing Stock &amp; W Capital'!$D$15))*$C158*E$124</f>
        <v>0</v>
      </c>
      <c r="F158" s="91">
        <f>((E90*(1-'5.Closing Stock &amp; W Capital'!$D$15))+(D90*'5.Closing Stock &amp; W Capital'!$D$15))*$C$152*F$124</f>
        <v>0</v>
      </c>
      <c r="G158" s="91">
        <f>((F90*(1-'5.Closing Stock &amp; W Capital'!$D$15))+(E90*'5.Closing Stock &amp; W Capital'!$D$15))*$C$152*G$124</f>
        <v>0</v>
      </c>
      <c r="H158" s="91">
        <f>((G90*(1-'5.Closing Stock &amp; W Capital'!$D$15))+(F90*'5.Closing Stock &amp; W Capital'!$D$15))*$C$152*H$124</f>
        <v>0</v>
      </c>
      <c r="I158" s="91">
        <f>((H90*(1-'5.Closing Stock &amp; W Capital'!$D$15))+(G90*'5.Closing Stock &amp; W Capital'!$D$15))*$C$152*I$124</f>
        <v>0</v>
      </c>
      <c r="J158" s="91">
        <f>((I90*(1-'5.Closing Stock &amp; W Capital'!$D$15))+(H90*'5.Closing Stock &amp; W Capital'!$D$15))*$C$152*J$124</f>
        <v>0</v>
      </c>
      <c r="K158" s="89"/>
      <c r="U158" s="89"/>
      <c r="V158" s="89"/>
      <c r="W158" s="89"/>
    </row>
    <row r="159" spans="1:23" x14ac:dyDescent="0.2">
      <c r="A159" s="90">
        <f t="shared" si="52"/>
        <v>0</v>
      </c>
      <c r="B159" s="90"/>
      <c r="C159" s="232"/>
      <c r="D159" s="91">
        <f>(C91*(1-'5.Closing Stock &amp; W Capital'!$D$15))*$C159*D$124</f>
        <v>0</v>
      </c>
      <c r="E159" s="91">
        <f>((D91*(1-'5.Closing Stock &amp; W Capital'!$D$15))+(C91*'5.Closing Stock &amp; W Capital'!$D$15))*$C159*E$124</f>
        <v>0</v>
      </c>
      <c r="F159" s="91">
        <f>((E91*(1-'5.Closing Stock &amp; W Capital'!$D$15))+(D91*'5.Closing Stock &amp; W Capital'!$D$15))*$C$152*F$124</f>
        <v>0</v>
      </c>
      <c r="G159" s="91">
        <f>((F91*(1-'5.Closing Stock &amp; W Capital'!$D$15))+(E91*'5.Closing Stock &amp; W Capital'!$D$15))*$C$152*G$124</f>
        <v>0</v>
      </c>
      <c r="H159" s="91">
        <f>((G91*(1-'5.Closing Stock &amp; W Capital'!$D$15))+(F91*'5.Closing Stock &amp; W Capital'!$D$15))*$C$152*H$124</f>
        <v>0</v>
      </c>
      <c r="I159" s="91">
        <f>((H91*(1-'5.Closing Stock &amp; W Capital'!$D$15))+(G91*'5.Closing Stock &amp; W Capital'!$D$15))*$C$152*I$124</f>
        <v>0</v>
      </c>
      <c r="J159" s="91">
        <f>((I91*(1-'5.Closing Stock &amp; W Capital'!$D$15))+(H91*'5.Closing Stock &amp; W Capital'!$D$15))*$C$152*J$124</f>
        <v>0</v>
      </c>
      <c r="K159" s="89"/>
      <c r="U159" s="89"/>
      <c r="V159" s="89"/>
      <c r="W159" s="89"/>
    </row>
    <row r="160" spans="1:23" x14ac:dyDescent="0.2">
      <c r="A160" s="90">
        <f t="shared" si="52"/>
        <v>0</v>
      </c>
      <c r="B160" s="90"/>
      <c r="C160" s="232"/>
      <c r="D160" s="91">
        <f>(C92*(1-'5.Closing Stock &amp; W Capital'!$D$15))*$C160*D$124</f>
        <v>0</v>
      </c>
      <c r="E160" s="91">
        <f>((D92*(1-'5.Closing Stock &amp; W Capital'!$D$15))+(C92*'5.Closing Stock &amp; W Capital'!$D$15))*$C160*E$124</f>
        <v>0</v>
      </c>
      <c r="F160" s="91">
        <f>((E92*(1-'5.Closing Stock &amp; W Capital'!$D$15))+(D92*'5.Closing Stock &amp; W Capital'!$D$15))*$C$152*F$124</f>
        <v>0</v>
      </c>
      <c r="G160" s="91">
        <f>((F92*(1-'5.Closing Stock &amp; W Capital'!$D$15))+(E92*'5.Closing Stock &amp; W Capital'!$D$15))*$C$152*G$124</f>
        <v>0</v>
      </c>
      <c r="H160" s="91">
        <f>((G92*(1-'5.Closing Stock &amp; W Capital'!$D$15))+(F92*'5.Closing Stock &amp; W Capital'!$D$15))*$C$152*H$124</f>
        <v>0</v>
      </c>
      <c r="I160" s="91">
        <f>((H92*(1-'5.Closing Stock &amp; W Capital'!$D$15))+(G92*'5.Closing Stock &amp; W Capital'!$D$15))*$C$152*I$124</f>
        <v>0</v>
      </c>
      <c r="J160" s="91">
        <f>((I92*(1-'5.Closing Stock &amp; W Capital'!$D$15))+(H92*'5.Closing Stock &amp; W Capital'!$D$15))*$C$152*J$124</f>
        <v>0</v>
      </c>
      <c r="K160" s="89"/>
      <c r="U160" s="89"/>
      <c r="V160" s="89"/>
      <c r="W160" s="89"/>
    </row>
    <row r="161" spans="1:23" x14ac:dyDescent="0.2">
      <c r="A161" s="90">
        <f t="shared" ref="A161:A179" si="53">A40</f>
        <v>0</v>
      </c>
      <c r="B161" s="90"/>
      <c r="C161" s="232"/>
      <c r="D161" s="91">
        <f>(C93*(1-'5.Closing Stock &amp; W Capital'!$D$15))*$C161*D$124</f>
        <v>0</v>
      </c>
      <c r="E161" s="91">
        <f>((D93*(1-'5.Closing Stock &amp; W Capital'!$D$15))+(C93*'5.Closing Stock &amp; W Capital'!$D$15))*$C161*E$124</f>
        <v>0</v>
      </c>
      <c r="F161" s="91">
        <f>((E93*(1-'5.Closing Stock &amp; W Capital'!$D$15))+(D93*'5.Closing Stock &amp; W Capital'!$D$15))*$C$152*F$124</f>
        <v>0</v>
      </c>
      <c r="G161" s="91">
        <f>((F93*(1-'5.Closing Stock &amp; W Capital'!$D$15))+(E93*'5.Closing Stock &amp; W Capital'!$D$15))*$C$152*G$124</f>
        <v>0</v>
      </c>
      <c r="H161" s="91">
        <f>((G93*(1-'5.Closing Stock &amp; W Capital'!$D$15))+(F93*'5.Closing Stock &amp; W Capital'!$D$15))*$C$152*H$124</f>
        <v>0</v>
      </c>
      <c r="I161" s="91">
        <f>((H93*(1-'5.Closing Stock &amp; W Capital'!$D$15))+(G93*'5.Closing Stock &amp; W Capital'!$D$15))*$C$152*I$124</f>
        <v>0</v>
      </c>
      <c r="J161" s="91">
        <f>((I93*(1-'5.Closing Stock &amp; W Capital'!$D$15))+(H93*'5.Closing Stock &amp; W Capital'!$D$15))*$C$152*J$124</f>
        <v>0</v>
      </c>
      <c r="K161" s="89"/>
      <c r="U161" s="89"/>
      <c r="V161" s="89"/>
      <c r="W161" s="89"/>
    </row>
    <row r="162" spans="1:23" x14ac:dyDescent="0.2">
      <c r="A162" s="90">
        <f t="shared" si="53"/>
        <v>0</v>
      </c>
      <c r="B162" s="90"/>
      <c r="C162" s="232"/>
      <c r="D162" s="91">
        <f>(C94*(1-'5.Closing Stock &amp; W Capital'!$D$15))*$C162*D$124</f>
        <v>0</v>
      </c>
      <c r="E162" s="91">
        <f>((D94*(1-'5.Closing Stock &amp; W Capital'!$D$15))+(C94*'5.Closing Stock &amp; W Capital'!$D$15))*$C162*E$124</f>
        <v>0</v>
      </c>
      <c r="F162" s="91">
        <f>((E94*(1-'5.Closing Stock &amp; W Capital'!$D$15))+(D94*'5.Closing Stock &amp; W Capital'!$D$15))*$C$152*F$124</f>
        <v>0</v>
      </c>
      <c r="G162" s="91">
        <f>((F94*(1-'5.Closing Stock &amp; W Capital'!$D$15))+(E94*'5.Closing Stock &amp; W Capital'!$D$15))*$C$152*G$124</f>
        <v>0</v>
      </c>
      <c r="H162" s="91">
        <f>((G94*(1-'5.Closing Stock &amp; W Capital'!$D$15))+(F94*'5.Closing Stock &amp; W Capital'!$D$15))*$C$152*H$124</f>
        <v>0</v>
      </c>
      <c r="I162" s="91">
        <f>((H94*(1-'5.Closing Stock &amp; W Capital'!$D$15))+(G94*'5.Closing Stock &amp; W Capital'!$D$15))*$C$152*I$124</f>
        <v>0</v>
      </c>
      <c r="J162" s="91">
        <f>((I94*(1-'5.Closing Stock &amp; W Capital'!$D$15))+(H94*'5.Closing Stock &amp; W Capital'!$D$15))*$C$152*J$124</f>
        <v>0</v>
      </c>
      <c r="K162" s="89"/>
      <c r="U162" s="89"/>
      <c r="V162" s="89"/>
      <c r="W162" s="89"/>
    </row>
    <row r="163" spans="1:23" x14ac:dyDescent="0.2">
      <c r="A163" s="90" t="str">
        <f t="shared" si="53"/>
        <v>Onion</v>
      </c>
      <c r="B163" s="90"/>
      <c r="C163" s="232"/>
      <c r="D163" s="91">
        <f>(C95*(1-'5.Closing Stock &amp; W Capital'!$D$15))*$C163*D$124</f>
        <v>0</v>
      </c>
      <c r="E163" s="91">
        <f>((D95*(1-'5.Closing Stock &amp; W Capital'!$D$15))+(C95*'5.Closing Stock &amp; W Capital'!$D$15))*$C163*E$124</f>
        <v>0</v>
      </c>
      <c r="F163" s="91">
        <f>((E95*(1-'5.Closing Stock &amp; W Capital'!$D$15))+(D95*'5.Closing Stock &amp; W Capital'!$D$15))*$C$152*F$124</f>
        <v>0</v>
      </c>
      <c r="G163" s="91">
        <f>((F95*(1-'5.Closing Stock &amp; W Capital'!$D$15))+(E95*'5.Closing Stock &amp; W Capital'!$D$15))*$C$152*G$124</f>
        <v>0</v>
      </c>
      <c r="H163" s="91">
        <f>((G95*(1-'5.Closing Stock &amp; W Capital'!$D$15))+(F95*'5.Closing Stock &amp; W Capital'!$D$15))*$C$152*H$124</f>
        <v>0</v>
      </c>
      <c r="I163" s="91">
        <f>((H95*(1-'5.Closing Stock &amp; W Capital'!$D$15))+(G95*'5.Closing Stock &amp; W Capital'!$D$15))*$C$152*I$124</f>
        <v>0</v>
      </c>
      <c r="J163" s="91">
        <f>((I95*(1-'5.Closing Stock &amp; W Capital'!$D$15))+(H95*'5.Closing Stock &amp; W Capital'!$D$15))*$C$152*J$124</f>
        <v>0</v>
      </c>
      <c r="K163" s="89"/>
      <c r="U163" s="89"/>
      <c r="V163" s="89"/>
      <c r="W163" s="89"/>
    </row>
    <row r="164" spans="1:23" x14ac:dyDescent="0.2">
      <c r="A164" s="90" t="str">
        <f t="shared" si="53"/>
        <v>Tomato</v>
      </c>
      <c r="B164" s="90"/>
      <c r="C164" s="232"/>
      <c r="D164" s="91">
        <f>(C96*(1-'5.Closing Stock &amp; W Capital'!$D$15))*$C164*D$124</f>
        <v>0</v>
      </c>
      <c r="E164" s="91">
        <f>((D96*(1-'5.Closing Stock &amp; W Capital'!$D$15))+(C96*'5.Closing Stock &amp; W Capital'!$D$15))*$C164*E$124</f>
        <v>0</v>
      </c>
      <c r="F164" s="91">
        <f>((E96*(1-'5.Closing Stock &amp; W Capital'!$D$15))+(D96*'5.Closing Stock &amp; W Capital'!$D$15))*$C$152*F$124</f>
        <v>0</v>
      </c>
      <c r="G164" s="91">
        <f>((F96*(1-'5.Closing Stock &amp; W Capital'!$D$15))+(E96*'5.Closing Stock &amp; W Capital'!$D$15))*$C$152*G$124</f>
        <v>0</v>
      </c>
      <c r="H164" s="91">
        <f>((G96*(1-'5.Closing Stock &amp; W Capital'!$D$15))+(F96*'5.Closing Stock &amp; W Capital'!$D$15))*$C$152*H$124</f>
        <v>0</v>
      </c>
      <c r="I164" s="91">
        <f>((H96*(1-'5.Closing Stock &amp; W Capital'!$D$15))+(G96*'5.Closing Stock &amp; W Capital'!$D$15))*$C$152*I$124</f>
        <v>0</v>
      </c>
      <c r="J164" s="91">
        <f>((I96*(1-'5.Closing Stock &amp; W Capital'!$D$15))+(H96*'5.Closing Stock &amp; W Capital'!$D$15))*$C$152*J$124</f>
        <v>0</v>
      </c>
      <c r="K164" s="89"/>
      <c r="U164" s="89"/>
      <c r="V164" s="89"/>
      <c r="W164" s="89"/>
    </row>
    <row r="165" spans="1:23" x14ac:dyDescent="0.2">
      <c r="A165" s="90" t="str">
        <f t="shared" si="53"/>
        <v>Okra</v>
      </c>
      <c r="B165" s="90"/>
      <c r="C165" s="232"/>
      <c r="D165" s="91">
        <f>(C97*(1-'5.Closing Stock &amp; W Capital'!$D$15))*$C165*D$124</f>
        <v>0</v>
      </c>
      <c r="E165" s="91">
        <f>((D97*(1-'5.Closing Stock &amp; W Capital'!$D$15))+(C97*'5.Closing Stock &amp; W Capital'!$D$15))*$C165*E$124</f>
        <v>0</v>
      </c>
      <c r="F165" s="91">
        <f>((E97*(1-'5.Closing Stock &amp; W Capital'!$D$15))+(D97*'5.Closing Stock &amp; W Capital'!$D$15))*$C$152*F$124</f>
        <v>0</v>
      </c>
      <c r="G165" s="91">
        <f>((F97*(1-'5.Closing Stock &amp; W Capital'!$D$15))+(E97*'5.Closing Stock &amp; W Capital'!$D$15))*$C$152*G$124</f>
        <v>0</v>
      </c>
      <c r="H165" s="91">
        <f>((G97*(1-'5.Closing Stock &amp; W Capital'!$D$15))+(F97*'5.Closing Stock &amp; W Capital'!$D$15))*$C$152*H$124</f>
        <v>0</v>
      </c>
      <c r="I165" s="91">
        <f>((H97*(1-'5.Closing Stock &amp; W Capital'!$D$15))+(G97*'5.Closing Stock &amp; W Capital'!$D$15))*$C$152*I$124</f>
        <v>0</v>
      </c>
      <c r="J165" s="91">
        <f>((I97*(1-'5.Closing Stock &amp; W Capital'!$D$15))+(H97*'5.Closing Stock &amp; W Capital'!$D$15))*$C$152*J$124</f>
        <v>0</v>
      </c>
      <c r="K165" s="89"/>
      <c r="U165" s="89"/>
      <c r="V165" s="89"/>
      <c r="W165" s="89"/>
    </row>
    <row r="166" spans="1:23" x14ac:dyDescent="0.2">
      <c r="A166" s="90" t="str">
        <f t="shared" si="53"/>
        <v>Chilli</v>
      </c>
      <c r="B166" s="90"/>
      <c r="C166" s="232"/>
      <c r="D166" s="91">
        <f>(C98*(1-'5.Closing Stock &amp; W Capital'!$D$15))*$C166*D$124</f>
        <v>0</v>
      </c>
      <c r="E166" s="91">
        <f>((D98*(1-'5.Closing Stock &amp; W Capital'!$D$15))+(C98*'5.Closing Stock &amp; W Capital'!$D$15))*$C166*E$124</f>
        <v>0</v>
      </c>
      <c r="F166" s="91">
        <f>((E98*(1-'5.Closing Stock &amp; W Capital'!$D$15))+(D98*'5.Closing Stock &amp; W Capital'!$D$15))*$C$152*F$124</f>
        <v>0</v>
      </c>
      <c r="G166" s="91">
        <f>((F98*(1-'5.Closing Stock &amp; W Capital'!$D$15))+(E98*'5.Closing Stock &amp; W Capital'!$D$15))*$C$152*G$124</f>
        <v>0</v>
      </c>
      <c r="H166" s="91">
        <f>((G98*(1-'5.Closing Stock &amp; W Capital'!$D$15))+(F98*'5.Closing Stock &amp; W Capital'!$D$15))*$C$152*H$124</f>
        <v>0</v>
      </c>
      <c r="I166" s="91">
        <f>((H98*(1-'5.Closing Stock &amp; W Capital'!$D$15))+(G98*'5.Closing Stock &amp; W Capital'!$D$15))*$C$152*I$124</f>
        <v>0</v>
      </c>
      <c r="J166" s="91">
        <f>((I98*(1-'5.Closing Stock &amp; W Capital'!$D$15))+(H98*'5.Closing Stock &amp; W Capital'!$D$15))*$C$152*J$124</f>
        <v>0</v>
      </c>
      <c r="K166" s="89"/>
      <c r="U166" s="89"/>
      <c r="V166" s="89"/>
      <c r="W166" s="89"/>
    </row>
    <row r="167" spans="1:23" x14ac:dyDescent="0.2">
      <c r="A167" s="90" t="str">
        <f t="shared" si="53"/>
        <v>Brinjal</v>
      </c>
      <c r="B167" s="90"/>
      <c r="C167" s="232"/>
      <c r="D167" s="91">
        <f>(C99*(1-'5.Closing Stock &amp; W Capital'!$D$15))*$C167*D$124</f>
        <v>0</v>
      </c>
      <c r="E167" s="91">
        <f>((D99*(1-'5.Closing Stock &amp; W Capital'!$D$15))+(C99*'5.Closing Stock &amp; W Capital'!$D$15))*$C167*E$124</f>
        <v>0</v>
      </c>
      <c r="F167" s="91">
        <f>((E99*(1-'5.Closing Stock &amp; W Capital'!$D$15))+(D99*'5.Closing Stock &amp; W Capital'!$D$15))*$C$152*F$124</f>
        <v>0</v>
      </c>
      <c r="G167" s="91">
        <f>((F99*(1-'5.Closing Stock &amp; W Capital'!$D$15))+(E99*'5.Closing Stock &amp; W Capital'!$D$15))*$C$152*G$124</f>
        <v>0</v>
      </c>
      <c r="H167" s="91">
        <f>((G99*(1-'5.Closing Stock &amp; W Capital'!$D$15))+(F99*'5.Closing Stock &amp; W Capital'!$D$15))*$C$152*H$124</f>
        <v>0</v>
      </c>
      <c r="I167" s="91">
        <f>((H99*(1-'5.Closing Stock &amp; W Capital'!$D$15))+(G99*'5.Closing Stock &amp; W Capital'!$D$15))*$C$152*I$124</f>
        <v>0</v>
      </c>
      <c r="J167" s="91">
        <f>((I99*(1-'5.Closing Stock &amp; W Capital'!$D$15))+(H99*'5.Closing Stock &amp; W Capital'!$D$15))*$C$152*J$124</f>
        <v>0</v>
      </c>
      <c r="K167" s="89"/>
      <c r="U167" s="89"/>
      <c r="V167" s="89"/>
      <c r="W167" s="89"/>
    </row>
    <row r="168" spans="1:23" x14ac:dyDescent="0.2">
      <c r="A168" s="90">
        <f t="shared" si="53"/>
        <v>0</v>
      </c>
      <c r="B168" s="90"/>
      <c r="C168" s="232"/>
      <c r="D168" s="91">
        <f>(C100*(1-'5.Closing Stock &amp; W Capital'!$D$15))*$C168*D$124</f>
        <v>0</v>
      </c>
      <c r="E168" s="91">
        <f>((D100*(1-'5.Closing Stock &amp; W Capital'!$D$15))+(C100*'5.Closing Stock &amp; W Capital'!$D$15))*$C168*E$124</f>
        <v>0</v>
      </c>
      <c r="F168" s="91">
        <f>((E100*(1-'5.Closing Stock &amp; W Capital'!$D$15))+(D100*'5.Closing Stock &amp; W Capital'!$D$15))*$C$152*F$124</f>
        <v>0</v>
      </c>
      <c r="G168" s="91">
        <f>((F100*(1-'5.Closing Stock &amp; W Capital'!$D$15))+(E100*'5.Closing Stock &amp; W Capital'!$D$15))*$C$152*G$124</f>
        <v>0</v>
      </c>
      <c r="H168" s="91">
        <f>((G100*(1-'5.Closing Stock &amp; W Capital'!$D$15))+(F100*'5.Closing Stock &amp; W Capital'!$D$15))*$C$152*H$124</f>
        <v>0</v>
      </c>
      <c r="I168" s="91">
        <f>((H100*(1-'5.Closing Stock &amp; W Capital'!$D$15))+(G100*'5.Closing Stock &amp; W Capital'!$D$15))*$C$152*I$124</f>
        <v>0</v>
      </c>
      <c r="J168" s="91">
        <f>((I100*(1-'5.Closing Stock &amp; W Capital'!$D$15))+(H100*'5.Closing Stock &amp; W Capital'!$D$15))*$C$152*J$124</f>
        <v>0</v>
      </c>
      <c r="K168" s="89"/>
      <c r="U168" s="89"/>
      <c r="V168" s="89"/>
      <c r="W168" s="89"/>
    </row>
    <row r="169" spans="1:23" x14ac:dyDescent="0.2">
      <c r="A169" s="90">
        <f t="shared" si="53"/>
        <v>0</v>
      </c>
      <c r="B169" s="90"/>
      <c r="C169" s="232"/>
      <c r="D169" s="91">
        <f>(C101*(1-'5.Closing Stock &amp; W Capital'!$D$15))*$C169*D$124</f>
        <v>0</v>
      </c>
      <c r="E169" s="91">
        <f>((D101*(1-'5.Closing Stock &amp; W Capital'!$D$15))+(C101*'5.Closing Stock &amp; W Capital'!$D$15))*$C169*E$124</f>
        <v>0</v>
      </c>
      <c r="F169" s="91">
        <f>((E101*(1-'5.Closing Stock &amp; W Capital'!$D$15))+(D101*'5.Closing Stock &amp; W Capital'!$D$15))*$C$152*F$124</f>
        <v>0</v>
      </c>
      <c r="G169" s="91">
        <f>((F101*(1-'5.Closing Stock &amp; W Capital'!$D$15))+(E101*'5.Closing Stock &amp; W Capital'!$D$15))*$C$152*G$124</f>
        <v>0</v>
      </c>
      <c r="H169" s="91">
        <f>((G101*(1-'5.Closing Stock &amp; W Capital'!$D$15))+(F101*'5.Closing Stock &amp; W Capital'!$D$15))*$C$152*H$124</f>
        <v>0</v>
      </c>
      <c r="I169" s="91">
        <f>((H101*(1-'5.Closing Stock &amp; W Capital'!$D$15))+(G101*'5.Closing Stock &amp; W Capital'!$D$15))*$C$152*I$124</f>
        <v>0</v>
      </c>
      <c r="J169" s="91">
        <f>((I101*(1-'5.Closing Stock &amp; W Capital'!$D$15))+(H101*'5.Closing Stock &amp; W Capital'!$D$15))*$C$152*J$124</f>
        <v>0</v>
      </c>
      <c r="K169" s="89"/>
      <c r="U169" s="89"/>
      <c r="V169" s="89"/>
      <c r="W169" s="89"/>
    </row>
    <row r="170" spans="1:23" x14ac:dyDescent="0.2">
      <c r="A170" s="90">
        <f t="shared" si="53"/>
        <v>0</v>
      </c>
      <c r="B170" s="90"/>
      <c r="C170" s="232"/>
      <c r="D170" s="91">
        <f>(C102*(1-'5.Closing Stock &amp; W Capital'!$D$15))*$C170*D$124</f>
        <v>0</v>
      </c>
      <c r="E170" s="91">
        <f>((D102*(1-'5.Closing Stock &amp; W Capital'!$D$15))+(C102*'5.Closing Stock &amp; W Capital'!$D$15))*$C170*E$124</f>
        <v>0</v>
      </c>
      <c r="F170" s="91">
        <f>((E102*(1-'5.Closing Stock &amp; W Capital'!$D$15))+(D102*'5.Closing Stock &amp; W Capital'!$D$15))*$C$152*F$124</f>
        <v>0</v>
      </c>
      <c r="G170" s="91">
        <f>((F102*(1-'5.Closing Stock &amp; W Capital'!$D$15))+(E102*'5.Closing Stock &amp; W Capital'!$D$15))*$C$152*G$124</f>
        <v>0</v>
      </c>
      <c r="H170" s="91">
        <f>((G102*(1-'5.Closing Stock &amp; W Capital'!$D$15))+(F102*'5.Closing Stock &amp; W Capital'!$D$15))*$C$152*H$124</f>
        <v>0</v>
      </c>
      <c r="I170" s="91">
        <f>((H102*(1-'5.Closing Stock &amp; W Capital'!$D$15))+(G102*'5.Closing Stock &amp; W Capital'!$D$15))*$C$152*I$124</f>
        <v>0</v>
      </c>
      <c r="J170" s="91">
        <f>((I102*(1-'5.Closing Stock &amp; W Capital'!$D$15))+(H102*'5.Closing Stock &amp; W Capital'!$D$15))*$C$152*J$124</f>
        <v>0</v>
      </c>
      <c r="K170" s="89"/>
      <c r="U170" s="89"/>
      <c r="V170" s="89"/>
      <c r="W170" s="89"/>
    </row>
    <row r="171" spans="1:23" x14ac:dyDescent="0.2">
      <c r="A171" s="90">
        <f t="shared" si="53"/>
        <v>0</v>
      </c>
      <c r="B171" s="90"/>
      <c r="C171" s="232"/>
      <c r="D171" s="91">
        <f>(C103*(1-'5.Closing Stock &amp; W Capital'!$D$15))*$C171*D$124</f>
        <v>0</v>
      </c>
      <c r="E171" s="91">
        <f>((D103*(1-'5.Closing Stock &amp; W Capital'!$D$15))+(C103*'5.Closing Stock &amp; W Capital'!$D$15))*$C171*E$124</f>
        <v>0</v>
      </c>
      <c r="F171" s="91">
        <f>((E103*(1-'5.Closing Stock &amp; W Capital'!$D$15))+(D103*'5.Closing Stock &amp; W Capital'!$D$15))*$C$152*F$124</f>
        <v>0</v>
      </c>
      <c r="G171" s="91">
        <f>((F103*(1-'5.Closing Stock &amp; W Capital'!$D$15))+(E103*'5.Closing Stock &amp; W Capital'!$D$15))*$C$152*G$124</f>
        <v>0</v>
      </c>
      <c r="H171" s="91">
        <f>((G103*(1-'5.Closing Stock &amp; W Capital'!$D$15))+(F103*'5.Closing Stock &amp; W Capital'!$D$15))*$C$152*H$124</f>
        <v>0</v>
      </c>
      <c r="I171" s="91">
        <f>((H103*(1-'5.Closing Stock &amp; W Capital'!$D$15))+(G103*'5.Closing Stock &amp; W Capital'!$D$15))*$C$152*I$124</f>
        <v>0</v>
      </c>
      <c r="J171" s="91">
        <f>((I103*(1-'5.Closing Stock &amp; W Capital'!$D$15))+(H103*'5.Closing Stock &amp; W Capital'!$D$15))*$C$152*J$124</f>
        <v>0</v>
      </c>
      <c r="K171" s="89"/>
      <c r="U171" s="89"/>
      <c r="V171" s="89"/>
      <c r="W171" s="89"/>
    </row>
    <row r="172" spans="1:23" x14ac:dyDescent="0.2">
      <c r="A172" s="90">
        <f t="shared" si="53"/>
        <v>0</v>
      </c>
      <c r="B172" s="90"/>
      <c r="C172" s="232"/>
      <c r="D172" s="91">
        <f>(C104*(1-'5.Closing Stock &amp; W Capital'!$D$15))*$C172*D$124</f>
        <v>0</v>
      </c>
      <c r="E172" s="91">
        <f>((D104*(1-'5.Closing Stock &amp; W Capital'!$D$15))+(C104*'5.Closing Stock &amp; W Capital'!$D$15))*$C172*E$124</f>
        <v>0</v>
      </c>
      <c r="F172" s="91">
        <f>((E104*(1-'5.Closing Stock &amp; W Capital'!$D$15))+(D104*'5.Closing Stock &amp; W Capital'!$D$15))*$C$152*F$124</f>
        <v>0</v>
      </c>
      <c r="G172" s="91">
        <f>((F104*(1-'5.Closing Stock &amp; W Capital'!$D$15))+(E104*'5.Closing Stock &amp; W Capital'!$D$15))*$C$152*G$124</f>
        <v>0</v>
      </c>
      <c r="H172" s="91">
        <f>((G104*(1-'5.Closing Stock &amp; W Capital'!$D$15))+(F104*'5.Closing Stock &amp; W Capital'!$D$15))*$C$152*H$124</f>
        <v>0</v>
      </c>
      <c r="I172" s="91">
        <f>((H104*(1-'5.Closing Stock &amp; W Capital'!$D$15))+(G104*'5.Closing Stock &amp; W Capital'!$D$15))*$C$152*I$124</f>
        <v>0</v>
      </c>
      <c r="J172" s="91">
        <f>((I104*(1-'5.Closing Stock &amp; W Capital'!$D$15))+(H104*'5.Closing Stock &amp; W Capital'!$D$15))*$C$152*J$124</f>
        <v>0</v>
      </c>
      <c r="K172" s="89"/>
      <c r="U172" s="89"/>
      <c r="V172" s="89"/>
      <c r="W172" s="89"/>
    </row>
    <row r="173" spans="1:23" x14ac:dyDescent="0.2">
      <c r="A173" s="90">
        <f t="shared" si="53"/>
        <v>0</v>
      </c>
      <c r="B173" s="90"/>
      <c r="C173" s="232"/>
      <c r="D173" s="91">
        <f>(C105*(1-'5.Closing Stock &amp; W Capital'!$D$15))*$C173*D$124</f>
        <v>0</v>
      </c>
      <c r="E173" s="91">
        <f>((D105*(1-'5.Closing Stock &amp; W Capital'!$D$15))+(C105*'5.Closing Stock &amp; W Capital'!$D$15))*$C173*E$124</f>
        <v>0</v>
      </c>
      <c r="F173" s="91">
        <f>((E105*(1-'5.Closing Stock &amp; W Capital'!$D$15))+(D105*'5.Closing Stock &amp; W Capital'!$D$15))*$C$152*F$124</f>
        <v>0</v>
      </c>
      <c r="G173" s="91">
        <f>((F105*(1-'5.Closing Stock &amp; W Capital'!$D$15))+(E105*'5.Closing Stock &amp; W Capital'!$D$15))*$C$152*G$124</f>
        <v>0</v>
      </c>
      <c r="H173" s="91">
        <f>((G105*(1-'5.Closing Stock &amp; W Capital'!$D$15))+(F105*'5.Closing Stock &amp; W Capital'!$D$15))*$C$152*H$124</f>
        <v>0</v>
      </c>
      <c r="I173" s="91">
        <f>((H105*(1-'5.Closing Stock &amp; W Capital'!$D$15))+(G105*'5.Closing Stock &amp; W Capital'!$D$15))*$C$152*I$124</f>
        <v>0</v>
      </c>
      <c r="J173" s="91">
        <f>((I105*(1-'5.Closing Stock &amp; W Capital'!$D$15))+(H105*'5.Closing Stock &amp; W Capital'!$D$15))*$C$152*J$124</f>
        <v>0</v>
      </c>
      <c r="K173" s="89"/>
      <c r="U173" s="89"/>
      <c r="V173" s="89"/>
      <c r="W173" s="89"/>
    </row>
    <row r="174" spans="1:23" x14ac:dyDescent="0.2">
      <c r="A174" s="90">
        <f t="shared" si="53"/>
        <v>0</v>
      </c>
      <c r="B174" s="90"/>
      <c r="C174" s="232"/>
      <c r="D174" s="91">
        <f>(C106*(1-'5.Closing Stock &amp; W Capital'!$D$15))*$C174*D$124</f>
        <v>0</v>
      </c>
      <c r="E174" s="91">
        <f>((D106*(1-'5.Closing Stock &amp; W Capital'!$D$15))+(C106*'5.Closing Stock &amp; W Capital'!$D$15))*$C174*E$124</f>
        <v>0</v>
      </c>
      <c r="F174" s="91">
        <f>((E106*(1-'5.Closing Stock &amp; W Capital'!$D$15))+(D106*'5.Closing Stock &amp; W Capital'!$D$15))*$C$152*F$124</f>
        <v>0</v>
      </c>
      <c r="G174" s="91">
        <f>((F106*(1-'5.Closing Stock &amp; W Capital'!$D$15))+(E106*'5.Closing Stock &amp; W Capital'!$D$15))*$C$152*G$124</f>
        <v>0</v>
      </c>
      <c r="H174" s="91">
        <f>((G106*(1-'5.Closing Stock &amp; W Capital'!$D$15))+(F106*'5.Closing Stock &amp; W Capital'!$D$15))*$C$152*H$124</f>
        <v>0</v>
      </c>
      <c r="I174" s="91">
        <f>((H106*(1-'5.Closing Stock &amp; W Capital'!$D$15))+(G106*'5.Closing Stock &amp; W Capital'!$D$15))*$C$152*I$124</f>
        <v>0</v>
      </c>
      <c r="J174" s="91">
        <f>((I106*(1-'5.Closing Stock &amp; W Capital'!$D$15))+(H106*'5.Closing Stock &amp; W Capital'!$D$15))*$C$152*J$124</f>
        <v>0</v>
      </c>
      <c r="K174" s="89"/>
      <c r="U174" s="89"/>
      <c r="V174" s="89"/>
      <c r="W174" s="89"/>
    </row>
    <row r="175" spans="1:23" x14ac:dyDescent="0.2">
      <c r="A175" s="90" t="str">
        <f t="shared" si="53"/>
        <v>Pomegranate</v>
      </c>
      <c r="B175" s="90"/>
      <c r="C175" s="232"/>
      <c r="D175" s="91">
        <f>(C107*(1-'5.Closing Stock &amp; W Capital'!$D$15))*$C175*D$124</f>
        <v>0</v>
      </c>
      <c r="E175" s="91">
        <f>((D107*(1-'5.Closing Stock &amp; W Capital'!$D$15))+(C107*'5.Closing Stock &amp; W Capital'!$D$15))*$C175*E$124</f>
        <v>0</v>
      </c>
      <c r="F175" s="91">
        <f>((E107*(1-'5.Closing Stock &amp; W Capital'!$D$15))+(D107*'5.Closing Stock &amp; W Capital'!$D$15))*$C$152*F$124</f>
        <v>0</v>
      </c>
      <c r="G175" s="91">
        <f>((F107*(1-'5.Closing Stock &amp; W Capital'!$D$15))+(E107*'5.Closing Stock &amp; W Capital'!$D$15))*$C$152*G$124</f>
        <v>0</v>
      </c>
      <c r="H175" s="91">
        <f>((G107*(1-'5.Closing Stock &amp; W Capital'!$D$15))+(F107*'5.Closing Stock &amp; W Capital'!$D$15))*$C$152*H$124</f>
        <v>0</v>
      </c>
      <c r="I175" s="91">
        <f>((H107*(1-'5.Closing Stock &amp; W Capital'!$D$15))+(G107*'5.Closing Stock &amp; W Capital'!$D$15))*$C$152*I$124</f>
        <v>0</v>
      </c>
      <c r="J175" s="91">
        <f>((I107*(1-'5.Closing Stock &amp; W Capital'!$D$15))+(H107*'5.Closing Stock &amp; W Capital'!$D$15))*$C$152*J$124</f>
        <v>0</v>
      </c>
      <c r="K175" s="89"/>
      <c r="U175" s="89"/>
      <c r="V175" s="89"/>
      <c r="W175" s="89"/>
    </row>
    <row r="176" spans="1:23" x14ac:dyDescent="0.2">
      <c r="A176" s="90" t="str">
        <f t="shared" si="53"/>
        <v>Custard Apple</v>
      </c>
      <c r="B176" s="90"/>
      <c r="C176" s="232"/>
      <c r="D176" s="91">
        <f>(C108*(1-'5.Closing Stock &amp; W Capital'!$D$15))*$C176*D$124</f>
        <v>0</v>
      </c>
      <c r="E176" s="91">
        <f>((D108*(1-'5.Closing Stock &amp; W Capital'!$D$15))+(C108*'5.Closing Stock &amp; W Capital'!$D$15))*$C176*E$124</f>
        <v>0</v>
      </c>
      <c r="F176" s="91">
        <f>((E108*(1-'5.Closing Stock &amp; W Capital'!$D$15))+(D108*'5.Closing Stock &amp; W Capital'!$D$15))*$C$152*F$124</f>
        <v>0</v>
      </c>
      <c r="G176" s="91">
        <f>((F108*(1-'5.Closing Stock &amp; W Capital'!$D$15))+(E108*'5.Closing Stock &amp; W Capital'!$D$15))*$C$152*G$124</f>
        <v>0</v>
      </c>
      <c r="H176" s="91">
        <f>((G108*(1-'5.Closing Stock &amp; W Capital'!$D$15))+(F108*'5.Closing Stock &amp; W Capital'!$D$15))*$C$152*H$124</f>
        <v>0</v>
      </c>
      <c r="I176" s="91">
        <f>((H108*(1-'5.Closing Stock &amp; W Capital'!$D$15))+(G108*'5.Closing Stock &amp; W Capital'!$D$15))*$C$152*I$124</f>
        <v>0</v>
      </c>
      <c r="J176" s="91">
        <f>((I108*(1-'5.Closing Stock &amp; W Capital'!$D$15))+(H108*'5.Closing Stock &amp; W Capital'!$D$15))*$C$152*J$124</f>
        <v>0</v>
      </c>
      <c r="K176" s="89"/>
      <c r="U176" s="89"/>
      <c r="V176" s="89"/>
      <c r="W176" s="89"/>
    </row>
    <row r="177" spans="1:23" x14ac:dyDescent="0.2">
      <c r="A177" s="90" t="str">
        <f t="shared" si="53"/>
        <v>Guava</v>
      </c>
      <c r="B177" s="90"/>
      <c r="C177" s="232"/>
      <c r="D177" s="91">
        <f>(C109*(1-'5.Closing Stock &amp; W Capital'!$D$15))*$C177*D$124</f>
        <v>0</v>
      </c>
      <c r="E177" s="91">
        <f>((D109*(1-'5.Closing Stock &amp; W Capital'!$D$15))+(C109*'5.Closing Stock &amp; W Capital'!$D$15))*$C177*E$124</f>
        <v>0</v>
      </c>
      <c r="F177" s="91">
        <f>((E109*(1-'5.Closing Stock &amp; W Capital'!$D$15))+(D109*'5.Closing Stock &amp; W Capital'!$D$15))*$C$152*F$124</f>
        <v>0</v>
      </c>
      <c r="G177" s="91">
        <f>((F109*(1-'5.Closing Stock &amp; W Capital'!$D$15))+(E109*'5.Closing Stock &amp; W Capital'!$D$15))*$C$152*G$124</f>
        <v>0</v>
      </c>
      <c r="H177" s="91">
        <f>((G109*(1-'5.Closing Stock &amp; W Capital'!$D$15))+(F109*'5.Closing Stock &amp; W Capital'!$D$15))*$C$152*H$124</f>
        <v>0</v>
      </c>
      <c r="I177" s="91">
        <f>((H109*(1-'5.Closing Stock &amp; W Capital'!$D$15))+(G109*'5.Closing Stock &amp; W Capital'!$D$15))*$C$152*I$124</f>
        <v>0</v>
      </c>
      <c r="J177" s="91">
        <f>((I109*(1-'5.Closing Stock &amp; W Capital'!$D$15))+(H109*'5.Closing Stock &amp; W Capital'!$D$15))*$C$152*J$124</f>
        <v>0</v>
      </c>
      <c r="K177" s="89"/>
      <c r="U177" s="89"/>
      <c r="V177" s="89"/>
      <c r="W177" s="89"/>
    </row>
    <row r="178" spans="1:23" x14ac:dyDescent="0.2">
      <c r="A178" s="90" t="str">
        <f t="shared" si="53"/>
        <v>Citrus</v>
      </c>
      <c r="B178" s="90"/>
      <c r="C178" s="232"/>
      <c r="D178" s="91">
        <f>(C110*(1-'5.Closing Stock &amp; W Capital'!$D$15))*$C178*D$124</f>
        <v>0</v>
      </c>
      <c r="E178" s="91">
        <f>((D110*(1-'5.Closing Stock &amp; W Capital'!$D$15))+(C110*'5.Closing Stock &amp; W Capital'!$D$15))*$C178*E$124</f>
        <v>0</v>
      </c>
      <c r="F178" s="91">
        <f>((E110*(1-'5.Closing Stock &amp; W Capital'!$D$15))+(D110*'5.Closing Stock &amp; W Capital'!$D$15))*$C$152*F$124</f>
        <v>0</v>
      </c>
      <c r="G178" s="91">
        <f>((F110*(1-'5.Closing Stock &amp; W Capital'!$D$15))+(E110*'5.Closing Stock &amp; W Capital'!$D$15))*$C$152*G$124</f>
        <v>0</v>
      </c>
      <c r="H178" s="91">
        <f>((G110*(1-'5.Closing Stock &amp; W Capital'!$D$15))+(F110*'5.Closing Stock &amp; W Capital'!$D$15))*$C$152*H$124</f>
        <v>0</v>
      </c>
      <c r="I178" s="91">
        <f>((H110*(1-'5.Closing Stock &amp; W Capital'!$D$15))+(G110*'5.Closing Stock &amp; W Capital'!$D$15))*$C$152*I$124</f>
        <v>0</v>
      </c>
      <c r="J178" s="91">
        <f>((I110*(1-'5.Closing Stock &amp; W Capital'!$D$15))+(H110*'5.Closing Stock &amp; W Capital'!$D$15))*$C$152*J$124</f>
        <v>0</v>
      </c>
      <c r="K178" s="89"/>
      <c r="U178" s="89"/>
      <c r="V178" s="89"/>
      <c r="W178" s="89"/>
    </row>
    <row r="179" spans="1:23" x14ac:dyDescent="0.2">
      <c r="A179" s="90">
        <f t="shared" si="53"/>
        <v>0</v>
      </c>
      <c r="B179" s="90"/>
      <c r="C179" s="232"/>
      <c r="D179" s="91"/>
      <c r="E179" s="91"/>
      <c r="F179" s="91"/>
      <c r="G179" s="91"/>
      <c r="H179" s="91"/>
      <c r="I179" s="91"/>
      <c r="J179" s="91"/>
      <c r="K179" s="89"/>
      <c r="U179" s="89"/>
      <c r="V179" s="89"/>
      <c r="W179" s="89"/>
    </row>
    <row r="180" spans="1:23" x14ac:dyDescent="0.2">
      <c r="A180" s="90"/>
      <c r="B180" s="90"/>
      <c r="C180" s="91"/>
      <c r="D180" s="91"/>
      <c r="E180" s="91"/>
      <c r="F180" s="91"/>
      <c r="G180" s="91"/>
      <c r="H180" s="91"/>
      <c r="I180" s="91"/>
      <c r="J180" s="91"/>
      <c r="K180" s="89"/>
      <c r="U180" s="89"/>
      <c r="V180" s="89"/>
      <c r="W180" s="89"/>
    </row>
    <row r="181" spans="1:23" x14ac:dyDescent="0.2">
      <c r="A181" s="90" t="s">
        <v>289</v>
      </c>
      <c r="B181" s="90"/>
      <c r="C181" s="91"/>
      <c r="D181" s="91"/>
      <c r="E181" s="91"/>
      <c r="F181" s="91"/>
      <c r="G181" s="91"/>
      <c r="H181" s="91"/>
      <c r="I181" s="91"/>
      <c r="J181" s="91"/>
      <c r="K181" s="89"/>
      <c r="U181" s="89"/>
      <c r="V181" s="89"/>
      <c r="W181" s="89"/>
    </row>
    <row r="182" spans="1:23" x14ac:dyDescent="0.2">
      <c r="A182" s="90" t="s">
        <v>409</v>
      </c>
      <c r="B182" s="90"/>
      <c r="C182" s="232">
        <f>350/50</f>
        <v>7</v>
      </c>
      <c r="D182" s="91">
        <f>(C114*(1-'5.Closing Stock &amp; W Capital'!$D$15))*$C$182*D124</f>
        <v>42214406.850000001</v>
      </c>
      <c r="E182" s="91">
        <f>((D114*(1-'5.Closing Stock &amp; W Capital'!$D$15))+(C114*'5.Closing Stock &amp; W Capital'!$D$15))*$C$182*E124</f>
        <v>50313496.649062514</v>
      </c>
      <c r="F182" s="91">
        <f>((E114*(1-'5.Closing Stock &amp; W Capital'!$D$15))+(D114*'5.Closing Stock &amp; W Capital'!$D$15))*$C$182*F124</f>
        <v>58705608.798703119</v>
      </c>
      <c r="G182" s="91">
        <f>((F114*(1-'5.Closing Stock &amp; W Capital'!$D$15))+(E114*'5.Closing Stock &amp; W Capital'!$D$15))*$C$182*G124</f>
        <v>67811148.421685144</v>
      </c>
      <c r="H182" s="91">
        <f>((G114*(1-'5.Closing Stock &amp; W Capital'!$D$15))+(F114*'5.Closing Stock &amp; W Capital'!$D$15))*$C$182*H124</f>
        <v>77680477.984968647</v>
      </c>
      <c r="I182" s="91">
        <f>((H114*(1-'5.Closing Stock &amp; W Capital'!$D$15))+(G114*'5.Closing Stock &amp; W Capital'!$D$15))*$C$182*I124</f>
        <v>88367212.633526295</v>
      </c>
      <c r="J182" s="91">
        <f>((I114*(1-'5.Closing Stock &amp; W Capital'!$D$15))+(H114*'5.Closing Stock &amp; W Capital'!$D$15))*$C$182*J124</f>
        <v>99928419.551977247</v>
      </c>
      <c r="K182" s="89"/>
      <c r="U182" s="89"/>
      <c r="V182" s="89"/>
      <c r="W182" s="89"/>
    </row>
    <row r="183" spans="1:23" x14ac:dyDescent="0.2">
      <c r="A183" s="90" t="s">
        <v>180</v>
      </c>
      <c r="B183" s="90"/>
      <c r="C183" s="232">
        <v>8</v>
      </c>
      <c r="D183" s="91">
        <f>(C115*(1-'5.Closing Stock &amp; W Capital'!$D$15))*$C$183*D124</f>
        <v>14473510.920000002</v>
      </c>
      <c r="E183" s="91">
        <f>((D115*(1-'5.Closing Stock &amp; W Capital'!$D$15))+(C115*'5.Closing Stock &amp; W Capital'!$D$15))*$C$183*E124</f>
        <v>17250341.708250001</v>
      </c>
      <c r="F183" s="91">
        <f>((E115*(1-'5.Closing Stock &amp; W Capital'!$D$15))+(D115*'5.Closing Stock &amp; W Capital'!$D$15))*$C$183*F124</f>
        <v>20127637.302412499</v>
      </c>
      <c r="G183" s="91">
        <f>((F115*(1-'5.Closing Stock &amp; W Capital'!$D$15))+(E115*'5.Closing Stock &amp; W Capital'!$D$15))*$C$183*G124</f>
        <v>23249536.601720631</v>
      </c>
      <c r="H183" s="91">
        <f>((G115*(1-'5.Closing Stock &amp; W Capital'!$D$15))+(F115*'5.Closing Stock &amp; W Capital'!$D$15))*$C$183*H124</f>
        <v>26633306.737703536</v>
      </c>
      <c r="I183" s="91">
        <f>((H115*(1-'5.Closing Stock &amp; W Capital'!$D$15))+(G115*'5.Closing Stock &amp; W Capital'!$D$15))*$C$183*I124</f>
        <v>30297330.045780443</v>
      </c>
      <c r="J183" s="91">
        <f>((I115*(1-'5.Closing Stock &amp; W Capital'!$D$15))+(H115*'5.Closing Stock &amp; W Capital'!$D$15))*$C$183*J124</f>
        <v>34261172.417820767</v>
      </c>
      <c r="K183" s="89"/>
      <c r="U183" s="89"/>
      <c r="V183" s="89"/>
      <c r="W183" s="89"/>
    </row>
    <row r="184" spans="1:23" x14ac:dyDescent="0.2">
      <c r="A184" s="90" t="s">
        <v>182</v>
      </c>
      <c r="B184" s="90"/>
      <c r="C184" s="232">
        <v>30</v>
      </c>
      <c r="D184" s="91">
        <f>(C116*(1-'5.Closing Stock &amp; W Capital'!$D$15))*$C$184*D124</f>
        <v>54275665.950000003</v>
      </c>
      <c r="E184" s="91">
        <f>((D116*(1-'5.Closing Stock &amp; W Capital'!$D$15))+(C116*'5.Closing Stock &amp; W Capital'!$D$15))*$C$184*E124</f>
        <v>64688781.405937508</v>
      </c>
      <c r="F184" s="91">
        <f>((E116*(1-'5.Closing Stock &amp; W Capital'!$D$15))+(D116*'5.Closing Stock &amp; W Capital'!$D$15))*$C$184*F124</f>
        <v>75478639.884046867</v>
      </c>
      <c r="G184" s="91">
        <f>((F116*(1-'5.Closing Stock &amp; W Capital'!$D$15))+(E116*'5.Closing Stock &amp; W Capital'!$D$15))*$C$184*G124</f>
        <v>87185762.256452367</v>
      </c>
      <c r="H184" s="91">
        <f>((G116*(1-'5.Closing Stock &amp; W Capital'!$D$15))+(F116*'5.Closing Stock &amp; W Capital'!$D$15))*$C$184*H124</f>
        <v>99874900.266388252</v>
      </c>
      <c r="I184" s="91">
        <f>((H116*(1-'5.Closing Stock &amp; W Capital'!$D$15))+(G116*'5.Closing Stock &amp; W Capital'!$D$15))*$C$184*I124</f>
        <v>113614987.67167665</v>
      </c>
      <c r="J184" s="91">
        <f>((I116*(1-'5.Closing Stock &amp; W Capital'!$D$15))+(H116*'5.Closing Stock &amp; W Capital'!$D$15))*$C$184*J124</f>
        <v>128479396.56682786</v>
      </c>
      <c r="K184" s="89"/>
      <c r="U184" s="89"/>
      <c r="V184" s="89"/>
      <c r="W184" s="89"/>
    </row>
    <row r="185" spans="1:23" x14ac:dyDescent="0.2">
      <c r="A185" s="90"/>
      <c r="B185" s="90"/>
      <c r="C185" s="91"/>
      <c r="D185" s="91"/>
      <c r="E185" s="91"/>
      <c r="F185" s="91"/>
      <c r="G185" s="91"/>
      <c r="H185" s="91"/>
      <c r="I185" s="91"/>
      <c r="J185" s="91"/>
      <c r="K185" s="89"/>
      <c r="U185" s="89"/>
      <c r="V185" s="89"/>
      <c r="W185" s="89"/>
    </row>
    <row r="186" spans="1:23" x14ac:dyDescent="0.2">
      <c r="A186" s="90" t="s">
        <v>181</v>
      </c>
      <c r="B186" s="90"/>
      <c r="C186" s="91"/>
      <c r="D186" s="91"/>
      <c r="E186" s="91"/>
      <c r="F186" s="91"/>
      <c r="G186" s="91"/>
      <c r="H186" s="91"/>
      <c r="I186" s="91"/>
      <c r="J186" s="91"/>
      <c r="K186" s="89"/>
      <c r="U186" s="89"/>
      <c r="V186" s="89"/>
      <c r="W186" s="89"/>
    </row>
    <row r="187" spans="1:23" x14ac:dyDescent="0.2">
      <c r="A187" s="90" t="s">
        <v>187</v>
      </c>
      <c r="B187" s="90"/>
      <c r="C187" s="232">
        <v>5000</v>
      </c>
      <c r="D187" s="91">
        <f>(C118*(1-'5.Closing Stock &amp; W Capital'!$D$15))*$C$187*D124</f>
        <v>60306295.500000007</v>
      </c>
      <c r="E187" s="91">
        <f>((D118*(1-'5.Closing Stock &amp; W Capital'!$D$15))+(C118*'5.Closing Stock &amp; W Capital'!$D$15))*$C$187*E124</f>
        <v>71876423.784374997</v>
      </c>
      <c r="F187" s="91">
        <f>((E118*(1-'5.Closing Stock &amp; W Capital'!$D$15))+(D118*'5.Closing Stock &amp; W Capital'!$D$15))*$C$187*F124</f>
        <v>83865155.426718757</v>
      </c>
      <c r="G187" s="91">
        <f>((F118*(1-'5.Closing Stock &amp; W Capital'!$D$15))+(E118*'5.Closing Stock &amp; W Capital'!$D$15))*$C$187*G124</f>
        <v>96873069.173835948</v>
      </c>
      <c r="H187" s="91">
        <f>((G118*(1-'5.Closing Stock &amp; W Capital'!$D$15))+(F118*'5.Closing Stock &amp; W Capital'!$D$15))*$C$187*H124</f>
        <v>110972111.40709808</v>
      </c>
      <c r="I187" s="91">
        <f>((H118*(1-'5.Closing Stock &amp; W Capital'!$D$15))+(G118*'5.Closing Stock &amp; W Capital'!$D$15))*$C$187*I124</f>
        <v>126238875.19075185</v>
      </c>
      <c r="J187" s="91">
        <f>((I118*(1-'5.Closing Stock &amp; W Capital'!$D$15))+(H118*'5.Closing Stock &amp; W Capital'!$D$15))*$C$187*J124</f>
        <v>142754885.07425323</v>
      </c>
      <c r="K187" s="89"/>
      <c r="U187" s="201"/>
      <c r="V187" s="201"/>
      <c r="W187" s="201"/>
    </row>
    <row r="188" spans="1:23" x14ac:dyDescent="0.2">
      <c r="A188" s="90" t="s">
        <v>188</v>
      </c>
      <c r="B188" s="90"/>
      <c r="C188" s="232">
        <v>3000</v>
      </c>
      <c r="D188" s="91">
        <f>(C119*(1-'5.Closing Stock &amp; W Capital'!$D$15))*$C$188*D124</f>
        <v>90459443.25</v>
      </c>
      <c r="E188" s="91">
        <f>((D119*(1-'5.Closing Stock &amp; W Capital'!$D$15))+(C119*'5.Closing Stock &amp; W Capital'!$D$15))*$C$188*E124</f>
        <v>107814635.67656252</v>
      </c>
      <c r="F188" s="91">
        <f>((E119*(1-'5.Closing Stock &amp; W Capital'!$D$15))+(D119*'5.Closing Stock &amp; W Capital'!$D$15))*$C$188*F124</f>
        <v>125797733.14007811</v>
      </c>
      <c r="G188" s="91">
        <f>((F119*(1-'5.Closing Stock &amp; W Capital'!$D$15))+(E119*'5.Closing Stock &amp; W Capital'!$D$15))*$C$188*G124</f>
        <v>145309603.76075393</v>
      </c>
      <c r="H188" s="91">
        <f>((G119*(1-'5.Closing Stock &amp; W Capital'!$D$15))+(F119*'5.Closing Stock &amp; W Capital'!$D$15))*$C$188*H124</f>
        <v>166458167.11064711</v>
      </c>
      <c r="I188" s="91">
        <f>((H119*(1-'5.Closing Stock &amp; W Capital'!$D$15))+(G119*'5.Closing Stock &amp; W Capital'!$D$15))*$C$188*I124</f>
        <v>189358312.78612775</v>
      </c>
      <c r="J188" s="91">
        <f>((I119*(1-'5.Closing Stock &amp; W Capital'!$D$15))+(H119*'5.Closing Stock &amp; W Capital'!$D$15))*$C$188*J124</f>
        <v>214132327.6113798</v>
      </c>
      <c r="K188" s="89"/>
      <c r="U188" s="89"/>
      <c r="V188" s="89"/>
      <c r="W188" s="89"/>
    </row>
    <row r="189" spans="1:23" x14ac:dyDescent="0.2">
      <c r="A189" s="90"/>
      <c r="B189" s="90"/>
      <c r="C189" s="91"/>
      <c r="D189" s="91"/>
      <c r="E189" s="91"/>
      <c r="F189" s="91"/>
      <c r="G189" s="91"/>
      <c r="H189" s="91"/>
      <c r="I189" s="91"/>
      <c r="J189" s="91"/>
      <c r="K189" s="89"/>
      <c r="U189" s="89"/>
      <c r="V189" s="89"/>
      <c r="W189" s="89"/>
    </row>
    <row r="190" spans="1:23" x14ac:dyDescent="0.2">
      <c r="A190" s="90"/>
      <c r="B190" s="90"/>
      <c r="C190" s="91"/>
      <c r="D190" s="91"/>
      <c r="E190" s="91"/>
      <c r="F190" s="91"/>
      <c r="G190" s="91"/>
      <c r="H190" s="91"/>
      <c r="I190" s="91"/>
      <c r="J190" s="91"/>
      <c r="K190" s="89"/>
      <c r="U190" s="89"/>
      <c r="V190" s="89"/>
      <c r="W190" s="89"/>
    </row>
    <row r="191" spans="1:23" x14ac:dyDescent="0.2">
      <c r="A191" s="92" t="s">
        <v>143</v>
      </c>
      <c r="B191" s="92"/>
      <c r="C191" s="110"/>
      <c r="D191" s="110">
        <f t="shared" ref="D191:J191" si="54">SUM(D130:D188)</f>
        <v>266072172.7455</v>
      </c>
      <c r="E191" s="110">
        <f t="shared" si="54"/>
        <v>317108460.94534695</v>
      </c>
      <c r="F191" s="110">
        <f t="shared" si="54"/>
        <v>370000860.57837987</v>
      </c>
      <c r="G191" s="110">
        <f t="shared" si="54"/>
        <v>427389729.02235281</v>
      </c>
      <c r="H191" s="110">
        <f t="shared" si="54"/>
        <v>489592482.15927708</v>
      </c>
      <c r="I191" s="110">
        <f t="shared" si="54"/>
        <v>556947036.28733802</v>
      </c>
      <c r="J191" s="110">
        <f t="shared" si="54"/>
        <v>629813064.62280679</v>
      </c>
      <c r="K191" s="89"/>
      <c r="U191" s="89"/>
      <c r="V191" s="89"/>
      <c r="W191" s="89"/>
    </row>
    <row r="192" spans="1:23" x14ac:dyDescent="0.2">
      <c r="A192" s="90"/>
      <c r="B192" s="90"/>
      <c r="C192" s="91"/>
      <c r="D192" s="91"/>
      <c r="E192" s="91"/>
      <c r="F192" s="91"/>
      <c r="G192" s="91"/>
      <c r="H192" s="91"/>
      <c r="I192" s="91"/>
      <c r="J192" s="91"/>
      <c r="K192" s="89"/>
      <c r="U192" s="89"/>
      <c r="V192" s="89"/>
      <c r="W192" s="89"/>
    </row>
    <row r="193" spans="1:23" x14ac:dyDescent="0.2">
      <c r="A193" s="90"/>
      <c r="B193" s="90"/>
      <c r="C193" s="91"/>
      <c r="D193" s="91"/>
      <c r="E193" s="91"/>
      <c r="F193" s="91"/>
      <c r="G193" s="91"/>
      <c r="H193" s="91"/>
      <c r="I193" s="91"/>
      <c r="J193" s="91"/>
      <c r="K193" s="89"/>
      <c r="U193" s="89"/>
      <c r="V193" s="89"/>
      <c r="W193" s="89"/>
    </row>
    <row r="194" spans="1:23" x14ac:dyDescent="0.2">
      <c r="A194" s="92" t="s">
        <v>142</v>
      </c>
      <c r="B194" s="92"/>
      <c r="C194" s="91"/>
      <c r="D194" s="91"/>
      <c r="E194" s="91"/>
      <c r="F194" s="91"/>
      <c r="G194" s="91"/>
      <c r="H194" s="91"/>
      <c r="I194" s="91"/>
      <c r="J194" s="91"/>
      <c r="K194" s="89"/>
      <c r="U194" s="89"/>
      <c r="V194" s="89"/>
      <c r="W194" s="89"/>
    </row>
    <row r="195" spans="1:23" x14ac:dyDescent="0.2">
      <c r="A195" s="92" t="str">
        <f>A128</f>
        <v>Seeds (Rate/KG)</v>
      </c>
      <c r="B195" s="92"/>
      <c r="C195" s="91"/>
      <c r="D195" s="91"/>
      <c r="E195" s="91"/>
      <c r="F195" s="91"/>
      <c r="G195" s="91"/>
      <c r="H195" s="91"/>
      <c r="I195" s="91"/>
      <c r="J195" s="91"/>
      <c r="K195" s="89"/>
      <c r="U195" s="89"/>
      <c r="V195" s="89"/>
      <c r="W195" s="89"/>
    </row>
    <row r="196" spans="1:23" x14ac:dyDescent="0.2">
      <c r="A196" s="89" t="s">
        <v>314</v>
      </c>
      <c r="B196" s="89"/>
      <c r="C196" s="89"/>
      <c r="D196" s="89"/>
      <c r="E196" s="89"/>
      <c r="F196" s="89"/>
      <c r="G196" s="89"/>
      <c r="H196" s="89"/>
      <c r="I196" s="89"/>
      <c r="J196" s="89"/>
      <c r="K196" s="89"/>
      <c r="U196" s="89"/>
      <c r="V196" s="89"/>
      <c r="W196" s="89"/>
    </row>
    <row r="197" spans="1:23" x14ac:dyDescent="0.2">
      <c r="A197" s="90" t="str">
        <f t="shared" ref="A197:A238" si="55">A130</f>
        <v>Soybean</v>
      </c>
      <c r="B197" s="89"/>
      <c r="C197" s="232">
        <f>C130-5</f>
        <v>95</v>
      </c>
      <c r="D197" s="91">
        <f t="shared" ref="D197:J206" si="56">C62*$C197*D$124</f>
        <v>1019730</v>
      </c>
      <c r="E197" s="91">
        <f t="shared" si="56"/>
        <v>1204556.0625000002</v>
      </c>
      <c r="F197" s="91">
        <f t="shared" si="56"/>
        <v>1405315.40625</v>
      </c>
      <c r="G197" s="91">
        <f t="shared" si="56"/>
        <v>1623139.2942187502</v>
      </c>
      <c r="H197" s="91">
        <f t="shared" si="56"/>
        <v>1859232.2824687506</v>
      </c>
      <c r="I197" s="91">
        <f t="shared" si="56"/>
        <v>2114876.7213082039</v>
      </c>
      <c r="J197" s="91">
        <f t="shared" si="56"/>
        <v>2391437.5233254307</v>
      </c>
      <c r="K197" s="89"/>
      <c r="U197" s="89"/>
      <c r="V197" s="89"/>
      <c r="W197" s="89"/>
    </row>
    <row r="198" spans="1:23" x14ac:dyDescent="0.2">
      <c r="A198" s="90" t="str">
        <f t="shared" si="55"/>
        <v>Red Gram/Tur</v>
      </c>
      <c r="B198" s="90"/>
      <c r="C198" s="232">
        <f t="shared" ref="C198:C210" si="57">C131-5</f>
        <v>95</v>
      </c>
      <c r="D198" s="91">
        <f t="shared" si="56"/>
        <v>424887.5</v>
      </c>
      <c r="E198" s="91">
        <f t="shared" si="56"/>
        <v>501898.359375</v>
      </c>
      <c r="F198" s="91">
        <f t="shared" si="56"/>
        <v>585548.0859375</v>
      </c>
      <c r="G198" s="91">
        <f t="shared" si="56"/>
        <v>676308.03925781255</v>
      </c>
      <c r="H198" s="91">
        <f t="shared" si="56"/>
        <v>774680.11769531283</v>
      </c>
      <c r="I198" s="91">
        <f t="shared" si="56"/>
        <v>881198.63387841836</v>
      </c>
      <c r="J198" s="91">
        <f t="shared" si="56"/>
        <v>996432.30138559616</v>
      </c>
      <c r="K198" s="89"/>
      <c r="U198" s="89"/>
      <c r="V198" s="89"/>
      <c r="W198" s="89"/>
    </row>
    <row r="199" spans="1:23" x14ac:dyDescent="0.2">
      <c r="A199" s="90" t="str">
        <f t="shared" si="55"/>
        <v>Paddy/Rice</v>
      </c>
      <c r="B199" s="90"/>
      <c r="C199" s="232">
        <f t="shared" si="57"/>
        <v>60</v>
      </c>
      <c r="D199" s="91">
        <f t="shared" si="56"/>
        <v>0</v>
      </c>
      <c r="E199" s="91">
        <f t="shared" si="56"/>
        <v>0</v>
      </c>
      <c r="F199" s="91">
        <f t="shared" si="56"/>
        <v>0</v>
      </c>
      <c r="G199" s="91">
        <f t="shared" si="56"/>
        <v>0</v>
      </c>
      <c r="H199" s="91">
        <f t="shared" si="56"/>
        <v>0</v>
      </c>
      <c r="I199" s="91">
        <f t="shared" si="56"/>
        <v>0</v>
      </c>
      <c r="J199" s="91">
        <f t="shared" si="56"/>
        <v>0</v>
      </c>
      <c r="K199" s="89"/>
      <c r="U199" s="89"/>
      <c r="V199" s="89"/>
      <c r="W199" s="89"/>
    </row>
    <row r="200" spans="1:23" x14ac:dyDescent="0.2">
      <c r="A200" s="90" t="str">
        <f t="shared" si="55"/>
        <v>Green Gram/ Moong</v>
      </c>
      <c r="B200" s="90"/>
      <c r="C200" s="232">
        <f t="shared" si="57"/>
        <v>80</v>
      </c>
      <c r="D200" s="91">
        <f t="shared" si="56"/>
        <v>536700</v>
      </c>
      <c r="E200" s="91">
        <f t="shared" si="56"/>
        <v>633976.875</v>
      </c>
      <c r="F200" s="91">
        <f t="shared" si="56"/>
        <v>739639.6875</v>
      </c>
      <c r="G200" s="91">
        <f t="shared" si="56"/>
        <v>854283.83906250005</v>
      </c>
      <c r="H200" s="91">
        <f t="shared" si="56"/>
        <v>978543.30656250031</v>
      </c>
      <c r="I200" s="91">
        <f t="shared" si="56"/>
        <v>1113093.0112148442</v>
      </c>
      <c r="J200" s="91">
        <f t="shared" si="56"/>
        <v>1258651.3280660163</v>
      </c>
      <c r="K200" s="89"/>
      <c r="L200" s="89"/>
      <c r="M200" s="89"/>
      <c r="N200" s="89"/>
      <c r="O200" s="89"/>
      <c r="P200" s="89"/>
      <c r="Q200" s="89"/>
      <c r="R200" s="89"/>
      <c r="S200" s="89"/>
      <c r="T200" s="89"/>
      <c r="U200" s="89"/>
      <c r="V200" s="89"/>
      <c r="W200" s="89"/>
    </row>
    <row r="201" spans="1:23" x14ac:dyDescent="0.2">
      <c r="A201" s="90" t="str">
        <f t="shared" si="55"/>
        <v>Maize</v>
      </c>
      <c r="B201" s="90"/>
      <c r="C201" s="232">
        <f t="shared" si="57"/>
        <v>32</v>
      </c>
      <c r="D201" s="91">
        <f t="shared" si="56"/>
        <v>0</v>
      </c>
      <c r="E201" s="91">
        <f t="shared" si="56"/>
        <v>0</v>
      </c>
      <c r="F201" s="91">
        <f t="shared" si="56"/>
        <v>0</v>
      </c>
      <c r="G201" s="91">
        <f t="shared" si="56"/>
        <v>0</v>
      </c>
      <c r="H201" s="91">
        <f t="shared" si="56"/>
        <v>0</v>
      </c>
      <c r="I201" s="91">
        <f t="shared" si="56"/>
        <v>0</v>
      </c>
      <c r="J201" s="91">
        <f t="shared" si="56"/>
        <v>0</v>
      </c>
      <c r="K201" s="89"/>
      <c r="L201" s="89"/>
      <c r="M201" s="89"/>
      <c r="N201" s="89"/>
      <c r="O201" s="89"/>
      <c r="P201" s="89"/>
      <c r="Q201" s="89"/>
      <c r="R201" s="89"/>
      <c r="S201" s="89"/>
      <c r="T201" s="89"/>
      <c r="U201" s="89"/>
      <c r="V201" s="89"/>
      <c r="W201" s="89"/>
    </row>
    <row r="202" spans="1:23" x14ac:dyDescent="0.2">
      <c r="A202" s="90" t="str">
        <f t="shared" si="55"/>
        <v>Black Gram/Udid</v>
      </c>
      <c r="B202" s="90"/>
      <c r="C202" s="232">
        <f t="shared" si="57"/>
        <v>70</v>
      </c>
      <c r="D202" s="91">
        <f t="shared" si="56"/>
        <v>37569</v>
      </c>
      <c r="E202" s="91">
        <f t="shared" si="56"/>
        <v>44378.381249999999</v>
      </c>
      <c r="F202" s="91">
        <f t="shared" si="56"/>
        <v>51774.778125000004</v>
      </c>
      <c r="G202" s="91">
        <f t="shared" si="56"/>
        <v>59799.868734375013</v>
      </c>
      <c r="H202" s="91">
        <f t="shared" si="56"/>
        <v>68498.031459375037</v>
      </c>
      <c r="I202" s="91">
        <f t="shared" si="56"/>
        <v>77916.510785039107</v>
      </c>
      <c r="J202" s="91">
        <f t="shared" si="56"/>
        <v>88105.592964621144</v>
      </c>
      <c r="K202" s="89"/>
      <c r="L202" s="89"/>
      <c r="M202" s="89"/>
      <c r="N202" s="89"/>
      <c r="O202" s="89"/>
      <c r="P202" s="89"/>
      <c r="Q202" s="89"/>
      <c r="R202" s="89"/>
      <c r="S202" s="89"/>
      <c r="T202" s="89"/>
      <c r="U202" s="89"/>
      <c r="V202" s="89"/>
      <c r="W202" s="89"/>
    </row>
    <row r="203" spans="1:23" x14ac:dyDescent="0.2">
      <c r="A203" s="90" t="str">
        <f t="shared" si="55"/>
        <v>Bajra</v>
      </c>
      <c r="B203" s="90"/>
      <c r="C203" s="232">
        <f t="shared" si="57"/>
        <v>25</v>
      </c>
      <c r="D203" s="91">
        <f t="shared" si="56"/>
        <v>4472.5</v>
      </c>
      <c r="E203" s="91">
        <f t="shared" si="56"/>
        <v>5283.140625</v>
      </c>
      <c r="F203" s="91">
        <f t="shared" si="56"/>
        <v>6163.6640625</v>
      </c>
      <c r="G203" s="91">
        <f t="shared" si="56"/>
        <v>7119.0319921875007</v>
      </c>
      <c r="H203" s="91">
        <f t="shared" si="56"/>
        <v>8154.5275546875027</v>
      </c>
      <c r="I203" s="91">
        <f t="shared" si="56"/>
        <v>9275.7750934570358</v>
      </c>
      <c r="J203" s="91">
        <f t="shared" si="56"/>
        <v>10488.761067216803</v>
      </c>
      <c r="K203" s="89"/>
      <c r="L203" s="89"/>
      <c r="M203" s="89"/>
      <c r="N203" s="89"/>
      <c r="O203" s="89"/>
      <c r="P203" s="89"/>
      <c r="Q203" s="89"/>
      <c r="R203" s="89"/>
      <c r="S203" s="89"/>
      <c r="T203" s="89"/>
      <c r="U203" s="89"/>
      <c r="V203" s="89"/>
      <c r="W203" s="89"/>
    </row>
    <row r="204" spans="1:23" x14ac:dyDescent="0.2">
      <c r="A204" s="90" t="str">
        <f t="shared" si="55"/>
        <v>Jawar</v>
      </c>
      <c r="B204" s="90"/>
      <c r="C204" s="232">
        <f t="shared" si="57"/>
        <v>25</v>
      </c>
      <c r="D204" s="91">
        <f t="shared" si="56"/>
        <v>0</v>
      </c>
      <c r="E204" s="91">
        <f t="shared" si="56"/>
        <v>0</v>
      </c>
      <c r="F204" s="91">
        <f t="shared" si="56"/>
        <v>0</v>
      </c>
      <c r="G204" s="91">
        <f t="shared" si="56"/>
        <v>0</v>
      </c>
      <c r="H204" s="91">
        <f t="shared" si="56"/>
        <v>0</v>
      </c>
      <c r="I204" s="91">
        <f t="shared" si="56"/>
        <v>0</v>
      </c>
      <c r="J204" s="91">
        <f t="shared" si="56"/>
        <v>0</v>
      </c>
      <c r="K204" s="89"/>
      <c r="L204" s="89"/>
      <c r="M204" s="89"/>
      <c r="N204" s="89"/>
      <c r="O204" s="89"/>
      <c r="P204" s="89"/>
      <c r="Q204" s="89"/>
      <c r="R204" s="89"/>
      <c r="S204" s="89"/>
      <c r="T204" s="89"/>
      <c r="U204" s="89"/>
      <c r="V204" s="89"/>
      <c r="W204" s="89"/>
    </row>
    <row r="205" spans="1:23" x14ac:dyDescent="0.2">
      <c r="A205" s="92" t="str">
        <f t="shared" si="55"/>
        <v>Rabi Crop</v>
      </c>
      <c r="B205" s="90"/>
      <c r="C205" s="232"/>
      <c r="D205" s="91">
        <f t="shared" si="56"/>
        <v>0</v>
      </c>
      <c r="E205" s="91">
        <f t="shared" si="56"/>
        <v>0</v>
      </c>
      <c r="F205" s="91">
        <f t="shared" si="56"/>
        <v>0</v>
      </c>
      <c r="G205" s="91">
        <f t="shared" si="56"/>
        <v>0</v>
      </c>
      <c r="H205" s="91">
        <f t="shared" si="56"/>
        <v>0</v>
      </c>
      <c r="I205" s="91">
        <f t="shared" si="56"/>
        <v>0</v>
      </c>
      <c r="J205" s="91">
        <f t="shared" si="56"/>
        <v>0</v>
      </c>
      <c r="K205" s="89"/>
      <c r="L205" s="89"/>
      <c r="M205" s="89"/>
      <c r="N205" s="89"/>
      <c r="O205" s="89"/>
      <c r="P205" s="89"/>
      <c r="Q205" s="89"/>
      <c r="R205" s="89"/>
      <c r="S205" s="89"/>
      <c r="T205" s="89"/>
      <c r="U205" s="89"/>
      <c r="V205" s="89"/>
      <c r="W205" s="89"/>
    </row>
    <row r="206" spans="1:23" x14ac:dyDescent="0.2">
      <c r="A206" s="90" t="str">
        <f t="shared" si="55"/>
        <v>Wheat</v>
      </c>
      <c r="B206" s="90"/>
      <c r="C206" s="232">
        <f t="shared" si="57"/>
        <v>35</v>
      </c>
      <c r="D206" s="91">
        <f t="shared" si="56"/>
        <v>500920</v>
      </c>
      <c r="E206" s="91">
        <f t="shared" si="56"/>
        <v>591711.75000000012</v>
      </c>
      <c r="F206" s="91">
        <f t="shared" si="56"/>
        <v>690330.375</v>
      </c>
      <c r="G206" s="91">
        <f t="shared" si="56"/>
        <v>797331.58312500012</v>
      </c>
      <c r="H206" s="91">
        <f t="shared" si="56"/>
        <v>913307.08612500015</v>
      </c>
      <c r="I206" s="91">
        <f t="shared" si="56"/>
        <v>1038886.8104671879</v>
      </c>
      <c r="J206" s="91">
        <f t="shared" si="56"/>
        <v>1174741.2395282818</v>
      </c>
      <c r="K206" s="89"/>
      <c r="L206" s="89"/>
      <c r="M206" s="89"/>
      <c r="N206" s="89"/>
      <c r="O206" s="89"/>
      <c r="P206" s="89"/>
      <c r="Q206" s="89"/>
      <c r="R206" s="89"/>
      <c r="S206" s="89"/>
      <c r="T206" s="89"/>
      <c r="U206" s="89"/>
      <c r="V206" s="89"/>
      <c r="W206" s="89"/>
    </row>
    <row r="207" spans="1:23" x14ac:dyDescent="0.2">
      <c r="A207" s="90" t="str">
        <f t="shared" si="55"/>
        <v>Bengal Gram/Channa</v>
      </c>
      <c r="B207" s="90"/>
      <c r="C207" s="232">
        <f t="shared" si="57"/>
        <v>70</v>
      </c>
      <c r="D207" s="91">
        <f t="shared" ref="D207:J216" si="58">C72*$C207*D$124</f>
        <v>1502760</v>
      </c>
      <c r="E207" s="91">
        <f t="shared" si="58"/>
        <v>1775135.2500000002</v>
      </c>
      <c r="F207" s="91">
        <f t="shared" si="58"/>
        <v>2070991.125</v>
      </c>
      <c r="G207" s="91">
        <f t="shared" si="58"/>
        <v>2391994.7493750001</v>
      </c>
      <c r="H207" s="91">
        <f t="shared" si="58"/>
        <v>2739921.2583750011</v>
      </c>
      <c r="I207" s="91">
        <f t="shared" si="58"/>
        <v>3116660.4314015638</v>
      </c>
      <c r="J207" s="91">
        <f t="shared" si="58"/>
        <v>3524223.7185848453</v>
      </c>
      <c r="K207" s="89"/>
      <c r="L207" s="89"/>
      <c r="M207" s="89"/>
      <c r="N207" s="89"/>
      <c r="O207" s="89"/>
      <c r="P207" s="89"/>
      <c r="Q207" s="89"/>
      <c r="R207" s="89"/>
      <c r="S207" s="89"/>
      <c r="T207" s="89"/>
      <c r="U207" s="89"/>
      <c r="V207" s="89"/>
      <c r="W207" s="89"/>
    </row>
    <row r="208" spans="1:23" x14ac:dyDescent="0.2">
      <c r="A208" s="90" t="str">
        <f t="shared" si="55"/>
        <v>Jawar</v>
      </c>
      <c r="B208" s="90"/>
      <c r="C208" s="232">
        <f t="shared" si="57"/>
        <v>22</v>
      </c>
      <c r="D208" s="91">
        <f t="shared" si="58"/>
        <v>39358</v>
      </c>
      <c r="E208" s="91">
        <f t="shared" si="58"/>
        <v>46491.637500000012</v>
      </c>
      <c r="F208" s="91">
        <f t="shared" si="58"/>
        <v>54240.243750000001</v>
      </c>
      <c r="G208" s="91">
        <f t="shared" si="58"/>
        <v>62647.481531250007</v>
      </c>
      <c r="H208" s="91">
        <f t="shared" si="58"/>
        <v>71759.842481250016</v>
      </c>
      <c r="I208" s="91">
        <f t="shared" si="58"/>
        <v>81626.820822421912</v>
      </c>
      <c r="J208" s="91">
        <f t="shared" si="58"/>
        <v>92301.097391507865</v>
      </c>
      <c r="K208" s="89"/>
      <c r="L208" s="89"/>
      <c r="M208" s="89"/>
      <c r="N208" s="89"/>
      <c r="O208" s="89"/>
      <c r="P208" s="89"/>
      <c r="Q208" s="89"/>
      <c r="R208" s="89"/>
      <c r="S208" s="89"/>
      <c r="T208" s="89"/>
      <c r="U208" s="89"/>
      <c r="V208" s="89"/>
      <c r="W208" s="89"/>
    </row>
    <row r="209" spans="1:23" x14ac:dyDescent="0.2">
      <c r="A209" s="90" t="str">
        <f t="shared" si="55"/>
        <v>Maize</v>
      </c>
      <c r="B209" s="90"/>
      <c r="C209" s="232">
        <f t="shared" si="57"/>
        <v>22</v>
      </c>
      <c r="D209" s="91">
        <f t="shared" si="58"/>
        <v>15743.2</v>
      </c>
      <c r="E209" s="91">
        <f t="shared" si="58"/>
        <v>18596.655000000002</v>
      </c>
      <c r="F209" s="91">
        <f t="shared" si="58"/>
        <v>21696.0975</v>
      </c>
      <c r="G209" s="91">
        <f t="shared" si="58"/>
        <v>25058.992612500006</v>
      </c>
      <c r="H209" s="91">
        <f t="shared" si="58"/>
        <v>28703.93699250001</v>
      </c>
      <c r="I209" s="91">
        <f t="shared" si="58"/>
        <v>32650.728328968769</v>
      </c>
      <c r="J209" s="91">
        <f t="shared" si="58"/>
        <v>36920.438956603146</v>
      </c>
      <c r="K209" s="89"/>
      <c r="L209" s="89"/>
      <c r="M209" s="89"/>
      <c r="N209" s="89"/>
      <c r="O209" s="89"/>
      <c r="P209" s="89"/>
      <c r="Q209" s="89"/>
      <c r="R209" s="89"/>
      <c r="S209" s="89"/>
      <c r="T209" s="89"/>
      <c r="U209" s="89"/>
      <c r="V209" s="89"/>
      <c r="W209" s="89"/>
    </row>
    <row r="210" spans="1:23" x14ac:dyDescent="0.2">
      <c r="A210" s="90" t="str">
        <f t="shared" si="55"/>
        <v>Safflower</v>
      </c>
      <c r="B210" s="90"/>
      <c r="C210" s="232">
        <f t="shared" si="57"/>
        <v>75</v>
      </c>
      <c r="D210" s="91">
        <f t="shared" si="58"/>
        <v>0</v>
      </c>
      <c r="E210" s="91">
        <f t="shared" si="58"/>
        <v>0</v>
      </c>
      <c r="F210" s="91">
        <f t="shared" si="58"/>
        <v>0</v>
      </c>
      <c r="G210" s="91">
        <f t="shared" si="58"/>
        <v>0</v>
      </c>
      <c r="H210" s="91">
        <f t="shared" si="58"/>
        <v>0</v>
      </c>
      <c r="I210" s="91">
        <f t="shared" si="58"/>
        <v>0</v>
      </c>
      <c r="J210" s="91">
        <f t="shared" si="58"/>
        <v>0</v>
      </c>
      <c r="K210" s="89"/>
      <c r="L210" s="89"/>
      <c r="M210" s="89"/>
      <c r="N210" s="89"/>
      <c r="O210" s="89"/>
      <c r="P210" s="89"/>
      <c r="Q210" s="89"/>
      <c r="R210" s="89"/>
      <c r="S210" s="89"/>
      <c r="T210" s="89"/>
      <c r="U210" s="89"/>
      <c r="V210" s="89"/>
      <c r="W210" s="89"/>
    </row>
    <row r="211" spans="1:23" x14ac:dyDescent="0.2">
      <c r="A211" s="90">
        <f t="shared" si="55"/>
        <v>0</v>
      </c>
      <c r="B211" s="90"/>
      <c r="C211" s="232"/>
      <c r="D211" s="91">
        <f t="shared" si="58"/>
        <v>0</v>
      </c>
      <c r="E211" s="91">
        <f t="shared" si="58"/>
        <v>0</v>
      </c>
      <c r="F211" s="91">
        <f t="shared" si="58"/>
        <v>0</v>
      </c>
      <c r="G211" s="91">
        <f t="shared" si="58"/>
        <v>0</v>
      </c>
      <c r="H211" s="91">
        <f t="shared" si="58"/>
        <v>0</v>
      </c>
      <c r="I211" s="91">
        <f t="shared" si="58"/>
        <v>0</v>
      </c>
      <c r="J211" s="91">
        <f t="shared" si="58"/>
        <v>0</v>
      </c>
      <c r="K211" s="89"/>
      <c r="L211" s="89"/>
      <c r="M211" s="89"/>
      <c r="N211" s="89"/>
      <c r="O211" s="89"/>
      <c r="P211" s="89"/>
      <c r="Q211" s="89"/>
      <c r="R211" s="89"/>
      <c r="S211" s="89"/>
      <c r="T211" s="89"/>
      <c r="U211" s="89"/>
      <c r="V211" s="89"/>
      <c r="W211" s="89"/>
    </row>
    <row r="212" spans="1:23" x14ac:dyDescent="0.2">
      <c r="A212" s="90">
        <f t="shared" si="55"/>
        <v>0</v>
      </c>
      <c r="B212" s="90"/>
      <c r="C212" s="232"/>
      <c r="D212" s="91">
        <f t="shared" si="58"/>
        <v>0</v>
      </c>
      <c r="E212" s="91">
        <f t="shared" si="58"/>
        <v>0</v>
      </c>
      <c r="F212" s="91">
        <f t="shared" si="58"/>
        <v>0</v>
      </c>
      <c r="G212" s="91">
        <f t="shared" si="58"/>
        <v>0</v>
      </c>
      <c r="H212" s="91">
        <f t="shared" si="58"/>
        <v>0</v>
      </c>
      <c r="I212" s="91">
        <f t="shared" si="58"/>
        <v>0</v>
      </c>
      <c r="J212" s="91">
        <f t="shared" si="58"/>
        <v>0</v>
      </c>
      <c r="K212" s="89"/>
      <c r="L212" s="89"/>
      <c r="M212" s="89"/>
      <c r="N212" s="89"/>
      <c r="O212" s="89"/>
      <c r="P212" s="89"/>
      <c r="Q212" s="89"/>
      <c r="R212" s="89"/>
      <c r="S212" s="89"/>
      <c r="T212" s="89"/>
      <c r="U212" s="89"/>
      <c r="V212" s="89"/>
      <c r="W212" s="89"/>
    </row>
    <row r="213" spans="1:23" x14ac:dyDescent="0.2">
      <c r="A213" s="90">
        <f t="shared" si="55"/>
        <v>0</v>
      </c>
      <c r="B213" s="90"/>
      <c r="C213" s="232"/>
      <c r="D213" s="91">
        <f t="shared" si="58"/>
        <v>0</v>
      </c>
      <c r="E213" s="91">
        <f t="shared" si="58"/>
        <v>0</v>
      </c>
      <c r="F213" s="91">
        <f t="shared" si="58"/>
        <v>0</v>
      </c>
      <c r="G213" s="91">
        <f t="shared" si="58"/>
        <v>0</v>
      </c>
      <c r="H213" s="91">
        <f t="shared" si="58"/>
        <v>0</v>
      </c>
      <c r="I213" s="91">
        <f t="shared" si="58"/>
        <v>0</v>
      </c>
      <c r="J213" s="91">
        <f t="shared" si="58"/>
        <v>0</v>
      </c>
      <c r="K213" s="89"/>
      <c r="L213" s="89"/>
      <c r="M213" s="89"/>
      <c r="N213" s="89"/>
      <c r="O213" s="89"/>
      <c r="P213" s="89"/>
      <c r="Q213" s="89"/>
      <c r="R213" s="89"/>
      <c r="S213" s="89"/>
      <c r="T213" s="89"/>
      <c r="U213" s="89"/>
      <c r="V213" s="89"/>
      <c r="W213" s="89"/>
    </row>
    <row r="214" spans="1:23" x14ac:dyDescent="0.2">
      <c r="A214" s="90" t="str">
        <f t="shared" si="55"/>
        <v>Summer</v>
      </c>
      <c r="B214" s="90"/>
      <c r="C214" s="232"/>
      <c r="D214" s="91">
        <f t="shared" si="58"/>
        <v>0</v>
      </c>
      <c r="E214" s="91">
        <f t="shared" si="58"/>
        <v>0</v>
      </c>
      <c r="F214" s="91">
        <f t="shared" si="58"/>
        <v>0</v>
      </c>
      <c r="G214" s="91">
        <f t="shared" si="58"/>
        <v>0</v>
      </c>
      <c r="H214" s="91">
        <f t="shared" si="58"/>
        <v>0</v>
      </c>
      <c r="I214" s="91">
        <f t="shared" si="58"/>
        <v>0</v>
      </c>
      <c r="J214" s="91">
        <f t="shared" si="58"/>
        <v>0</v>
      </c>
      <c r="K214" s="89"/>
      <c r="L214" s="89"/>
      <c r="M214" s="89"/>
      <c r="N214" s="89"/>
      <c r="O214" s="89"/>
      <c r="P214" s="89"/>
      <c r="Q214" s="89"/>
      <c r="R214" s="89"/>
      <c r="S214" s="89"/>
      <c r="T214" s="89"/>
      <c r="U214" s="89"/>
      <c r="V214" s="89"/>
      <c r="W214" s="89"/>
    </row>
    <row r="215" spans="1:23" x14ac:dyDescent="0.2">
      <c r="A215" s="90" t="str">
        <f t="shared" si="55"/>
        <v>Groundnut</v>
      </c>
      <c r="B215" s="90"/>
      <c r="C215" s="232"/>
      <c r="D215" s="91">
        <f t="shared" si="58"/>
        <v>0</v>
      </c>
      <c r="E215" s="91">
        <f t="shared" si="58"/>
        <v>0</v>
      </c>
      <c r="F215" s="91">
        <f t="shared" si="58"/>
        <v>0</v>
      </c>
      <c r="G215" s="91">
        <f t="shared" si="58"/>
        <v>0</v>
      </c>
      <c r="H215" s="91">
        <f t="shared" si="58"/>
        <v>0</v>
      </c>
      <c r="I215" s="91">
        <f t="shared" si="58"/>
        <v>0</v>
      </c>
      <c r="J215" s="91">
        <f t="shared" si="58"/>
        <v>0</v>
      </c>
      <c r="K215" s="89"/>
      <c r="L215" s="89"/>
      <c r="M215" s="89"/>
      <c r="N215" s="89"/>
      <c r="O215" s="89"/>
      <c r="P215" s="89"/>
      <c r="Q215" s="89"/>
      <c r="R215" s="89"/>
      <c r="S215" s="89"/>
      <c r="T215" s="89"/>
      <c r="U215" s="89"/>
      <c r="V215" s="89"/>
      <c r="W215" s="89"/>
    </row>
    <row r="216" spans="1:23" x14ac:dyDescent="0.2">
      <c r="A216" s="90">
        <f t="shared" si="55"/>
        <v>0</v>
      </c>
      <c r="B216" s="90"/>
      <c r="C216" s="232"/>
      <c r="D216" s="91">
        <f t="shared" si="58"/>
        <v>0</v>
      </c>
      <c r="E216" s="91">
        <f t="shared" si="58"/>
        <v>0</v>
      </c>
      <c r="F216" s="91">
        <f t="shared" si="58"/>
        <v>0</v>
      </c>
      <c r="G216" s="91">
        <f t="shared" si="58"/>
        <v>0</v>
      </c>
      <c r="H216" s="91">
        <f t="shared" si="58"/>
        <v>0</v>
      </c>
      <c r="I216" s="91">
        <f t="shared" si="58"/>
        <v>0</v>
      </c>
      <c r="J216" s="91">
        <f t="shared" si="58"/>
        <v>0</v>
      </c>
      <c r="K216" s="89"/>
      <c r="L216" s="89"/>
      <c r="M216" s="89"/>
      <c r="N216" s="89"/>
      <c r="O216" s="89"/>
      <c r="P216" s="89"/>
      <c r="Q216" s="89"/>
      <c r="R216" s="89"/>
      <c r="S216" s="89"/>
      <c r="T216" s="89"/>
      <c r="U216" s="89"/>
      <c r="V216" s="89"/>
      <c r="W216" s="89"/>
    </row>
    <row r="217" spans="1:23" x14ac:dyDescent="0.2">
      <c r="A217" s="90">
        <f t="shared" si="55"/>
        <v>0</v>
      </c>
      <c r="B217" s="90"/>
      <c r="C217" s="232"/>
      <c r="D217" s="91">
        <f t="shared" ref="D217:J219" si="59">C82*$C217*D$124</f>
        <v>0</v>
      </c>
      <c r="E217" s="91">
        <f t="shared" si="59"/>
        <v>0</v>
      </c>
      <c r="F217" s="91">
        <f t="shared" si="59"/>
        <v>0</v>
      </c>
      <c r="G217" s="91">
        <f t="shared" si="59"/>
        <v>0</v>
      </c>
      <c r="H217" s="91">
        <f t="shared" si="59"/>
        <v>0</v>
      </c>
      <c r="I217" s="91">
        <f t="shared" si="59"/>
        <v>0</v>
      </c>
      <c r="J217" s="91">
        <f t="shared" si="59"/>
        <v>0</v>
      </c>
      <c r="K217" s="89"/>
      <c r="L217" s="89"/>
      <c r="M217" s="89"/>
      <c r="N217" s="89"/>
      <c r="O217" s="89"/>
      <c r="P217" s="89"/>
      <c r="Q217" s="89"/>
      <c r="R217" s="89"/>
      <c r="S217" s="89"/>
      <c r="T217" s="89"/>
      <c r="U217" s="89"/>
      <c r="V217" s="89"/>
      <c r="W217" s="89"/>
    </row>
    <row r="218" spans="1:23" x14ac:dyDescent="0.2">
      <c r="A218" s="90">
        <f t="shared" si="55"/>
        <v>0</v>
      </c>
      <c r="B218" s="90"/>
      <c r="C218" s="232"/>
      <c r="D218" s="91">
        <f t="shared" si="59"/>
        <v>0</v>
      </c>
      <c r="E218" s="91">
        <f t="shared" si="59"/>
        <v>0</v>
      </c>
      <c r="F218" s="91">
        <f t="shared" si="59"/>
        <v>0</v>
      </c>
      <c r="G218" s="91">
        <f t="shared" si="59"/>
        <v>0</v>
      </c>
      <c r="H218" s="91">
        <f t="shared" si="59"/>
        <v>0</v>
      </c>
      <c r="I218" s="91">
        <f t="shared" si="59"/>
        <v>0</v>
      </c>
      <c r="J218" s="91">
        <f t="shared" si="59"/>
        <v>0</v>
      </c>
      <c r="K218" s="89"/>
      <c r="L218" s="89"/>
      <c r="M218" s="89"/>
      <c r="N218" s="89"/>
      <c r="O218" s="89"/>
      <c r="P218" s="89"/>
      <c r="Q218" s="89"/>
      <c r="R218" s="89"/>
      <c r="S218" s="89"/>
      <c r="T218" s="89"/>
      <c r="U218" s="89"/>
      <c r="V218" s="89"/>
      <c r="W218" s="89"/>
    </row>
    <row r="219" spans="1:23" x14ac:dyDescent="0.2">
      <c r="A219" s="90">
        <f t="shared" si="55"/>
        <v>0</v>
      </c>
      <c r="B219" s="90"/>
      <c r="C219" s="232"/>
      <c r="D219" s="91">
        <f t="shared" si="59"/>
        <v>0</v>
      </c>
      <c r="E219" s="91">
        <f t="shared" si="59"/>
        <v>0</v>
      </c>
      <c r="F219" s="91">
        <f t="shared" si="59"/>
        <v>0</v>
      </c>
      <c r="G219" s="91">
        <f t="shared" si="59"/>
        <v>0</v>
      </c>
      <c r="H219" s="91">
        <f t="shared" si="59"/>
        <v>0</v>
      </c>
      <c r="I219" s="91">
        <f t="shared" si="59"/>
        <v>0</v>
      </c>
      <c r="J219" s="91">
        <f t="shared" si="59"/>
        <v>0</v>
      </c>
      <c r="K219" s="89"/>
      <c r="L219" s="89"/>
      <c r="M219" s="89"/>
      <c r="N219" s="89"/>
      <c r="O219" s="89"/>
      <c r="P219" s="89"/>
      <c r="Q219" s="89"/>
      <c r="R219" s="89"/>
      <c r="S219" s="89"/>
      <c r="T219" s="89"/>
      <c r="U219" s="89"/>
      <c r="V219" s="89"/>
      <c r="W219" s="89"/>
    </row>
    <row r="220" spans="1:23" x14ac:dyDescent="0.2">
      <c r="A220" s="90" t="str">
        <f t="shared" si="55"/>
        <v>Fruit  &amp; Vegetables Crop Production Details</v>
      </c>
      <c r="B220" s="90"/>
      <c r="C220" s="91"/>
      <c r="D220" s="91"/>
      <c r="E220" s="91"/>
      <c r="F220" s="91"/>
      <c r="G220" s="91"/>
      <c r="H220" s="91"/>
      <c r="I220" s="91"/>
      <c r="J220" s="91"/>
      <c r="K220" s="89"/>
      <c r="L220" s="89"/>
      <c r="M220" s="89"/>
      <c r="N220" s="89"/>
      <c r="O220" s="89"/>
      <c r="P220" s="89"/>
      <c r="Q220" s="89"/>
      <c r="R220" s="89"/>
      <c r="S220" s="89"/>
      <c r="T220" s="89"/>
      <c r="U220" s="89"/>
      <c r="V220" s="89"/>
      <c r="W220" s="89"/>
    </row>
    <row r="221" spans="1:23" x14ac:dyDescent="0.2">
      <c r="A221" s="90" t="str">
        <f t="shared" si="55"/>
        <v>Onion</v>
      </c>
      <c r="B221" s="90"/>
      <c r="C221" s="232"/>
      <c r="D221" s="91">
        <f t="shared" ref="D221:J230" si="60">C86*$C221*D$124</f>
        <v>0</v>
      </c>
      <c r="E221" s="91">
        <f t="shared" si="60"/>
        <v>0</v>
      </c>
      <c r="F221" s="91">
        <f t="shared" si="60"/>
        <v>0</v>
      </c>
      <c r="G221" s="91">
        <f t="shared" si="60"/>
        <v>0</v>
      </c>
      <c r="H221" s="91">
        <f t="shared" si="60"/>
        <v>0</v>
      </c>
      <c r="I221" s="91">
        <f t="shared" si="60"/>
        <v>0</v>
      </c>
      <c r="J221" s="91">
        <f t="shared" si="60"/>
        <v>0</v>
      </c>
      <c r="K221" s="89"/>
      <c r="L221" s="89"/>
      <c r="M221" s="89"/>
      <c r="N221" s="89"/>
      <c r="O221" s="89"/>
      <c r="P221" s="89"/>
      <c r="Q221" s="89"/>
      <c r="R221" s="89"/>
      <c r="S221" s="89"/>
      <c r="T221" s="89"/>
      <c r="U221" s="89"/>
      <c r="V221" s="89"/>
      <c r="W221" s="89"/>
    </row>
    <row r="222" spans="1:23" x14ac:dyDescent="0.2">
      <c r="A222" s="90" t="str">
        <f t="shared" si="55"/>
        <v>Tomato</v>
      </c>
      <c r="B222" s="90"/>
      <c r="C222" s="232"/>
      <c r="D222" s="91">
        <f t="shared" si="60"/>
        <v>0</v>
      </c>
      <c r="E222" s="91">
        <f t="shared" si="60"/>
        <v>0</v>
      </c>
      <c r="F222" s="91">
        <f t="shared" si="60"/>
        <v>0</v>
      </c>
      <c r="G222" s="91">
        <f t="shared" si="60"/>
        <v>0</v>
      </c>
      <c r="H222" s="91">
        <f t="shared" si="60"/>
        <v>0</v>
      </c>
      <c r="I222" s="91">
        <f t="shared" si="60"/>
        <v>0</v>
      </c>
      <c r="J222" s="91">
        <f t="shared" si="60"/>
        <v>0</v>
      </c>
      <c r="K222" s="89"/>
      <c r="L222" s="89"/>
      <c r="M222" s="89"/>
      <c r="N222" s="89"/>
      <c r="O222" s="89"/>
      <c r="P222" s="89"/>
      <c r="Q222" s="89"/>
      <c r="R222" s="89"/>
      <c r="S222" s="89"/>
      <c r="T222" s="89"/>
      <c r="U222" s="89"/>
      <c r="V222" s="89"/>
      <c r="W222" s="89"/>
    </row>
    <row r="223" spans="1:23" x14ac:dyDescent="0.2">
      <c r="A223" s="90" t="str">
        <f t="shared" si="55"/>
        <v>Okra</v>
      </c>
      <c r="B223" s="90"/>
      <c r="C223" s="232"/>
      <c r="D223" s="91">
        <f t="shared" si="60"/>
        <v>0</v>
      </c>
      <c r="E223" s="91">
        <f t="shared" si="60"/>
        <v>0</v>
      </c>
      <c r="F223" s="91">
        <f t="shared" si="60"/>
        <v>0</v>
      </c>
      <c r="G223" s="91">
        <f t="shared" si="60"/>
        <v>0</v>
      </c>
      <c r="H223" s="91">
        <f t="shared" si="60"/>
        <v>0</v>
      </c>
      <c r="I223" s="91">
        <f t="shared" si="60"/>
        <v>0</v>
      </c>
      <c r="J223" s="91">
        <f t="shared" si="60"/>
        <v>0</v>
      </c>
      <c r="K223" s="89"/>
      <c r="L223" s="89"/>
      <c r="M223" s="89"/>
      <c r="N223" s="89"/>
      <c r="O223" s="89"/>
      <c r="P223" s="89"/>
      <c r="Q223" s="89"/>
      <c r="R223" s="89"/>
      <c r="S223" s="89"/>
      <c r="T223" s="89"/>
      <c r="U223" s="89"/>
      <c r="V223" s="89"/>
      <c r="W223" s="89"/>
    </row>
    <row r="224" spans="1:23" x14ac:dyDescent="0.2">
      <c r="A224" s="90" t="str">
        <f t="shared" si="55"/>
        <v>Chilli</v>
      </c>
      <c r="B224" s="90"/>
      <c r="C224" s="232"/>
      <c r="D224" s="91">
        <f t="shared" si="60"/>
        <v>0</v>
      </c>
      <c r="E224" s="91">
        <f t="shared" si="60"/>
        <v>0</v>
      </c>
      <c r="F224" s="91">
        <f t="shared" si="60"/>
        <v>0</v>
      </c>
      <c r="G224" s="91">
        <f t="shared" si="60"/>
        <v>0</v>
      </c>
      <c r="H224" s="91">
        <f t="shared" si="60"/>
        <v>0</v>
      </c>
      <c r="I224" s="91">
        <f t="shared" si="60"/>
        <v>0</v>
      </c>
      <c r="J224" s="91">
        <f t="shared" si="60"/>
        <v>0</v>
      </c>
      <c r="K224" s="89"/>
      <c r="L224" s="89"/>
      <c r="M224" s="89"/>
      <c r="N224" s="89"/>
      <c r="O224" s="89"/>
      <c r="P224" s="89"/>
      <c r="Q224" s="89"/>
      <c r="R224" s="89"/>
      <c r="S224" s="89"/>
      <c r="T224" s="89"/>
      <c r="U224" s="89"/>
      <c r="V224" s="89"/>
      <c r="W224" s="89"/>
    </row>
    <row r="225" spans="1:23" x14ac:dyDescent="0.2">
      <c r="A225" s="90" t="str">
        <f t="shared" si="55"/>
        <v>Potato</v>
      </c>
      <c r="B225" s="90"/>
      <c r="C225" s="232"/>
      <c r="D225" s="91">
        <f t="shared" si="60"/>
        <v>0</v>
      </c>
      <c r="E225" s="91">
        <f t="shared" si="60"/>
        <v>0</v>
      </c>
      <c r="F225" s="91">
        <f t="shared" si="60"/>
        <v>0</v>
      </c>
      <c r="G225" s="91">
        <f t="shared" si="60"/>
        <v>0</v>
      </c>
      <c r="H225" s="91">
        <f t="shared" si="60"/>
        <v>0</v>
      </c>
      <c r="I225" s="91">
        <f t="shared" si="60"/>
        <v>0</v>
      </c>
      <c r="J225" s="91">
        <f t="shared" si="60"/>
        <v>0</v>
      </c>
      <c r="K225" s="89"/>
      <c r="L225" s="89"/>
      <c r="M225" s="89"/>
      <c r="N225" s="89"/>
      <c r="O225" s="89"/>
      <c r="P225" s="89"/>
      <c r="Q225" s="89"/>
      <c r="R225" s="89"/>
      <c r="S225" s="89"/>
      <c r="T225" s="89"/>
      <c r="U225" s="89"/>
      <c r="V225" s="89"/>
      <c r="W225" s="89"/>
    </row>
    <row r="226" spans="1:23" x14ac:dyDescent="0.2">
      <c r="A226" s="90">
        <f t="shared" si="55"/>
        <v>0</v>
      </c>
      <c r="B226" s="90"/>
      <c r="C226" s="232"/>
      <c r="D226" s="91">
        <f t="shared" si="60"/>
        <v>0</v>
      </c>
      <c r="E226" s="91">
        <f t="shared" si="60"/>
        <v>0</v>
      </c>
      <c r="F226" s="91">
        <f t="shared" si="60"/>
        <v>0</v>
      </c>
      <c r="G226" s="91">
        <f t="shared" si="60"/>
        <v>0</v>
      </c>
      <c r="H226" s="91">
        <f t="shared" si="60"/>
        <v>0</v>
      </c>
      <c r="I226" s="91">
        <f t="shared" si="60"/>
        <v>0</v>
      </c>
      <c r="J226" s="91">
        <f t="shared" si="60"/>
        <v>0</v>
      </c>
      <c r="K226" s="89"/>
      <c r="L226" s="89"/>
      <c r="M226" s="89"/>
      <c r="N226" s="89"/>
      <c r="O226" s="89"/>
      <c r="P226" s="89"/>
      <c r="Q226" s="89"/>
      <c r="R226" s="89"/>
      <c r="S226" s="89"/>
      <c r="T226" s="89"/>
      <c r="U226" s="89"/>
      <c r="V226" s="89"/>
      <c r="W226" s="89"/>
    </row>
    <row r="227" spans="1:23" x14ac:dyDescent="0.2">
      <c r="A227" s="90">
        <f t="shared" si="55"/>
        <v>0</v>
      </c>
      <c r="B227" s="90"/>
      <c r="C227" s="232"/>
      <c r="D227" s="91">
        <f t="shared" si="60"/>
        <v>0</v>
      </c>
      <c r="E227" s="91">
        <f t="shared" si="60"/>
        <v>0</v>
      </c>
      <c r="F227" s="91">
        <f t="shared" si="60"/>
        <v>0</v>
      </c>
      <c r="G227" s="91">
        <f t="shared" si="60"/>
        <v>0</v>
      </c>
      <c r="H227" s="91">
        <f t="shared" si="60"/>
        <v>0</v>
      </c>
      <c r="I227" s="91">
        <f t="shared" si="60"/>
        <v>0</v>
      </c>
      <c r="J227" s="91">
        <f t="shared" si="60"/>
        <v>0</v>
      </c>
      <c r="K227" s="89"/>
      <c r="L227" s="89"/>
      <c r="M227" s="89"/>
      <c r="N227" s="89"/>
      <c r="O227" s="89"/>
      <c r="P227" s="89"/>
      <c r="Q227" s="89"/>
      <c r="R227" s="89"/>
      <c r="S227" s="89"/>
      <c r="T227" s="89"/>
      <c r="U227" s="89"/>
      <c r="V227" s="89"/>
      <c r="W227" s="89"/>
    </row>
    <row r="228" spans="1:23" x14ac:dyDescent="0.2">
      <c r="A228" s="90">
        <f t="shared" si="55"/>
        <v>0</v>
      </c>
      <c r="B228" s="90"/>
      <c r="C228" s="232"/>
      <c r="D228" s="91">
        <f t="shared" si="60"/>
        <v>0</v>
      </c>
      <c r="E228" s="91">
        <f t="shared" si="60"/>
        <v>0</v>
      </c>
      <c r="F228" s="91">
        <f t="shared" si="60"/>
        <v>0</v>
      </c>
      <c r="G228" s="91">
        <f t="shared" si="60"/>
        <v>0</v>
      </c>
      <c r="H228" s="91">
        <f t="shared" si="60"/>
        <v>0</v>
      </c>
      <c r="I228" s="91">
        <f t="shared" si="60"/>
        <v>0</v>
      </c>
      <c r="J228" s="91">
        <f t="shared" si="60"/>
        <v>0</v>
      </c>
      <c r="K228" s="89"/>
      <c r="L228" s="89"/>
      <c r="M228" s="89"/>
      <c r="N228" s="89"/>
      <c r="O228" s="89"/>
      <c r="P228" s="89"/>
      <c r="Q228" s="89"/>
      <c r="R228" s="89"/>
      <c r="S228" s="89"/>
      <c r="T228" s="89"/>
      <c r="U228" s="89"/>
      <c r="V228" s="89"/>
      <c r="W228" s="89"/>
    </row>
    <row r="229" spans="1:23" x14ac:dyDescent="0.2">
      <c r="A229" s="90">
        <f t="shared" si="55"/>
        <v>0</v>
      </c>
      <c r="B229" s="90"/>
      <c r="C229" s="232"/>
      <c r="D229" s="91">
        <f t="shared" si="60"/>
        <v>0</v>
      </c>
      <c r="E229" s="91">
        <f t="shared" si="60"/>
        <v>0</v>
      </c>
      <c r="F229" s="91">
        <f t="shared" si="60"/>
        <v>0</v>
      </c>
      <c r="G229" s="91">
        <f t="shared" si="60"/>
        <v>0</v>
      </c>
      <c r="H229" s="91">
        <f t="shared" si="60"/>
        <v>0</v>
      </c>
      <c r="I229" s="91">
        <f t="shared" si="60"/>
        <v>0</v>
      </c>
      <c r="J229" s="91">
        <f t="shared" si="60"/>
        <v>0</v>
      </c>
      <c r="K229" s="89"/>
      <c r="L229" s="89"/>
      <c r="M229" s="89"/>
      <c r="N229" s="89"/>
      <c r="O229" s="89"/>
      <c r="P229" s="89"/>
      <c r="Q229" s="89"/>
      <c r="R229" s="89"/>
      <c r="S229" s="89"/>
      <c r="T229" s="89"/>
      <c r="U229" s="89"/>
      <c r="V229" s="89"/>
      <c r="W229" s="89"/>
    </row>
    <row r="230" spans="1:23" x14ac:dyDescent="0.2">
      <c r="A230" s="90" t="str">
        <f t="shared" si="55"/>
        <v>Onion</v>
      </c>
      <c r="B230" s="90"/>
      <c r="C230" s="232"/>
      <c r="D230" s="91">
        <f t="shared" si="60"/>
        <v>0</v>
      </c>
      <c r="E230" s="91">
        <f t="shared" si="60"/>
        <v>0</v>
      </c>
      <c r="F230" s="91">
        <f t="shared" si="60"/>
        <v>0</v>
      </c>
      <c r="G230" s="91">
        <f t="shared" si="60"/>
        <v>0</v>
      </c>
      <c r="H230" s="91">
        <f t="shared" si="60"/>
        <v>0</v>
      </c>
      <c r="I230" s="91">
        <f t="shared" si="60"/>
        <v>0</v>
      </c>
      <c r="J230" s="91">
        <f t="shared" si="60"/>
        <v>0</v>
      </c>
      <c r="K230" s="89"/>
      <c r="L230" s="89"/>
      <c r="M230" s="89"/>
      <c r="N230" s="89"/>
      <c r="O230" s="89"/>
      <c r="P230" s="89"/>
      <c r="Q230" s="89"/>
      <c r="R230" s="89"/>
      <c r="S230" s="89"/>
      <c r="T230" s="89"/>
      <c r="U230" s="89"/>
      <c r="V230" s="89"/>
      <c r="W230" s="89"/>
    </row>
    <row r="231" spans="1:23" x14ac:dyDescent="0.2">
      <c r="A231" s="90" t="str">
        <f t="shared" si="55"/>
        <v>Tomato</v>
      </c>
      <c r="B231" s="90"/>
      <c r="C231" s="232"/>
      <c r="D231" s="91">
        <f t="shared" ref="D231:J238" si="61">C96*$C231*D$124</f>
        <v>0</v>
      </c>
      <c r="E231" s="91">
        <f t="shared" si="61"/>
        <v>0</v>
      </c>
      <c r="F231" s="91">
        <f t="shared" si="61"/>
        <v>0</v>
      </c>
      <c r="G231" s="91">
        <f t="shared" si="61"/>
        <v>0</v>
      </c>
      <c r="H231" s="91">
        <f t="shared" si="61"/>
        <v>0</v>
      </c>
      <c r="I231" s="91">
        <f t="shared" si="61"/>
        <v>0</v>
      </c>
      <c r="J231" s="91">
        <f t="shared" si="61"/>
        <v>0</v>
      </c>
      <c r="K231" s="89"/>
      <c r="L231" s="89"/>
      <c r="M231" s="89"/>
      <c r="N231" s="89"/>
      <c r="O231" s="89"/>
      <c r="P231" s="89"/>
      <c r="Q231" s="89"/>
      <c r="R231" s="89"/>
      <c r="S231" s="89"/>
      <c r="T231" s="89"/>
      <c r="U231" s="89"/>
      <c r="V231" s="89"/>
      <c r="W231" s="89"/>
    </row>
    <row r="232" spans="1:23" x14ac:dyDescent="0.2">
      <c r="A232" s="90" t="str">
        <f t="shared" si="55"/>
        <v>Okra</v>
      </c>
      <c r="B232" s="90"/>
      <c r="C232" s="232"/>
      <c r="D232" s="91">
        <f t="shared" si="61"/>
        <v>0</v>
      </c>
      <c r="E232" s="91">
        <f t="shared" si="61"/>
        <v>0</v>
      </c>
      <c r="F232" s="91">
        <f t="shared" si="61"/>
        <v>0</v>
      </c>
      <c r="G232" s="91">
        <f t="shared" si="61"/>
        <v>0</v>
      </c>
      <c r="H232" s="91">
        <f t="shared" si="61"/>
        <v>0</v>
      </c>
      <c r="I232" s="91">
        <f t="shared" si="61"/>
        <v>0</v>
      </c>
      <c r="J232" s="91">
        <f t="shared" si="61"/>
        <v>0</v>
      </c>
      <c r="K232" s="89"/>
      <c r="L232" s="89"/>
      <c r="M232" s="89"/>
      <c r="N232" s="89"/>
      <c r="O232" s="89"/>
      <c r="P232" s="89"/>
      <c r="Q232" s="89"/>
      <c r="R232" s="89"/>
      <c r="S232" s="89"/>
      <c r="T232" s="89"/>
      <c r="U232" s="89"/>
      <c r="V232" s="89"/>
      <c r="W232" s="89"/>
    </row>
    <row r="233" spans="1:23" x14ac:dyDescent="0.2">
      <c r="A233" s="90" t="str">
        <f t="shared" si="55"/>
        <v>Chilli</v>
      </c>
      <c r="B233" s="90"/>
      <c r="C233" s="232"/>
      <c r="D233" s="91">
        <f t="shared" si="61"/>
        <v>0</v>
      </c>
      <c r="E233" s="91">
        <f t="shared" si="61"/>
        <v>0</v>
      </c>
      <c r="F233" s="91">
        <f t="shared" si="61"/>
        <v>0</v>
      </c>
      <c r="G233" s="91">
        <f t="shared" si="61"/>
        <v>0</v>
      </c>
      <c r="H233" s="91">
        <f t="shared" si="61"/>
        <v>0</v>
      </c>
      <c r="I233" s="91">
        <f t="shared" si="61"/>
        <v>0</v>
      </c>
      <c r="J233" s="91">
        <f t="shared" si="61"/>
        <v>0</v>
      </c>
      <c r="K233" s="89"/>
      <c r="L233" s="89"/>
      <c r="M233" s="89"/>
      <c r="N233" s="89"/>
      <c r="O233" s="89"/>
      <c r="P233" s="89"/>
      <c r="Q233" s="89"/>
      <c r="R233" s="89"/>
      <c r="S233" s="89"/>
      <c r="T233" s="89"/>
      <c r="U233" s="89"/>
      <c r="V233" s="89"/>
      <c r="W233" s="89"/>
    </row>
    <row r="234" spans="1:23" x14ac:dyDescent="0.2">
      <c r="A234" s="90" t="str">
        <f t="shared" si="55"/>
        <v>Brinjal</v>
      </c>
      <c r="B234" s="90"/>
      <c r="C234" s="232"/>
      <c r="D234" s="91">
        <f t="shared" si="61"/>
        <v>0</v>
      </c>
      <c r="E234" s="91">
        <f t="shared" si="61"/>
        <v>0</v>
      </c>
      <c r="F234" s="91">
        <f t="shared" si="61"/>
        <v>0</v>
      </c>
      <c r="G234" s="91">
        <f t="shared" si="61"/>
        <v>0</v>
      </c>
      <c r="H234" s="91">
        <f t="shared" si="61"/>
        <v>0</v>
      </c>
      <c r="I234" s="91">
        <f t="shared" si="61"/>
        <v>0</v>
      </c>
      <c r="J234" s="91">
        <f t="shared" si="61"/>
        <v>0</v>
      </c>
      <c r="K234" s="89"/>
      <c r="L234" s="89"/>
      <c r="M234" s="89"/>
      <c r="N234" s="89"/>
      <c r="O234" s="89"/>
      <c r="P234" s="89"/>
      <c r="Q234" s="89"/>
      <c r="R234" s="89"/>
      <c r="S234" s="89"/>
      <c r="T234" s="89"/>
      <c r="U234" s="89"/>
      <c r="V234" s="89"/>
      <c r="W234" s="89"/>
    </row>
    <row r="235" spans="1:23" x14ac:dyDescent="0.2">
      <c r="A235" s="90">
        <f t="shared" si="55"/>
        <v>0</v>
      </c>
      <c r="B235" s="90"/>
      <c r="C235" s="232"/>
      <c r="D235" s="91">
        <f t="shared" si="61"/>
        <v>0</v>
      </c>
      <c r="E235" s="91">
        <f t="shared" si="61"/>
        <v>0</v>
      </c>
      <c r="F235" s="91">
        <f t="shared" si="61"/>
        <v>0</v>
      </c>
      <c r="G235" s="91">
        <f t="shared" si="61"/>
        <v>0</v>
      </c>
      <c r="H235" s="91">
        <f t="shared" si="61"/>
        <v>0</v>
      </c>
      <c r="I235" s="91">
        <f t="shared" si="61"/>
        <v>0</v>
      </c>
      <c r="J235" s="91">
        <f t="shared" si="61"/>
        <v>0</v>
      </c>
      <c r="K235" s="89"/>
      <c r="L235" s="89"/>
      <c r="M235" s="89"/>
      <c r="N235" s="89"/>
      <c r="O235" s="89"/>
      <c r="P235" s="89"/>
      <c r="Q235" s="89"/>
      <c r="R235" s="89"/>
      <c r="S235" s="89"/>
      <c r="T235" s="89"/>
      <c r="U235" s="89"/>
      <c r="V235" s="89"/>
      <c r="W235" s="89"/>
    </row>
    <row r="236" spans="1:23" x14ac:dyDescent="0.2">
      <c r="A236" s="90">
        <f t="shared" si="55"/>
        <v>0</v>
      </c>
      <c r="B236" s="90"/>
      <c r="C236" s="232"/>
      <c r="D236" s="91">
        <f t="shared" si="61"/>
        <v>0</v>
      </c>
      <c r="E236" s="91">
        <f t="shared" si="61"/>
        <v>0</v>
      </c>
      <c r="F236" s="91">
        <f t="shared" si="61"/>
        <v>0</v>
      </c>
      <c r="G236" s="91">
        <f t="shared" si="61"/>
        <v>0</v>
      </c>
      <c r="H236" s="91">
        <f t="shared" si="61"/>
        <v>0</v>
      </c>
      <c r="I236" s="91">
        <f t="shared" si="61"/>
        <v>0</v>
      </c>
      <c r="J236" s="91">
        <f t="shared" si="61"/>
        <v>0</v>
      </c>
      <c r="K236" s="89"/>
      <c r="L236" s="89"/>
      <c r="M236" s="89"/>
      <c r="N236" s="89"/>
      <c r="O236" s="89"/>
      <c r="P236" s="89"/>
      <c r="Q236" s="89"/>
      <c r="R236" s="89"/>
      <c r="S236" s="89"/>
      <c r="T236" s="89"/>
      <c r="U236" s="89"/>
      <c r="V236" s="89"/>
      <c r="W236" s="89"/>
    </row>
    <row r="237" spans="1:23" x14ac:dyDescent="0.2">
      <c r="A237" s="90">
        <f t="shared" si="55"/>
        <v>0</v>
      </c>
      <c r="B237" s="90"/>
      <c r="C237" s="232"/>
      <c r="D237" s="91">
        <f t="shared" si="61"/>
        <v>0</v>
      </c>
      <c r="E237" s="91">
        <f t="shared" si="61"/>
        <v>0</v>
      </c>
      <c r="F237" s="91">
        <f t="shared" si="61"/>
        <v>0</v>
      </c>
      <c r="G237" s="91">
        <f t="shared" si="61"/>
        <v>0</v>
      </c>
      <c r="H237" s="91">
        <f t="shared" si="61"/>
        <v>0</v>
      </c>
      <c r="I237" s="91">
        <f t="shared" si="61"/>
        <v>0</v>
      </c>
      <c r="J237" s="91">
        <f t="shared" si="61"/>
        <v>0</v>
      </c>
      <c r="K237" s="89"/>
      <c r="L237" s="89"/>
      <c r="M237" s="89"/>
      <c r="N237" s="89"/>
      <c r="O237" s="89"/>
      <c r="P237" s="89"/>
      <c r="Q237" s="89"/>
      <c r="R237" s="89"/>
      <c r="S237" s="89"/>
      <c r="T237" s="89"/>
      <c r="U237" s="89"/>
      <c r="V237" s="89"/>
      <c r="W237" s="89"/>
    </row>
    <row r="238" spans="1:23" x14ac:dyDescent="0.2">
      <c r="A238" s="90">
        <f t="shared" si="55"/>
        <v>0</v>
      </c>
      <c r="B238" s="90"/>
      <c r="C238" s="232"/>
      <c r="D238" s="91">
        <f t="shared" si="61"/>
        <v>0</v>
      </c>
      <c r="E238" s="91">
        <f t="shared" si="61"/>
        <v>0</v>
      </c>
      <c r="F238" s="91">
        <f t="shared" si="61"/>
        <v>0</v>
      </c>
      <c r="G238" s="91">
        <f t="shared" si="61"/>
        <v>0</v>
      </c>
      <c r="H238" s="91">
        <f t="shared" si="61"/>
        <v>0</v>
      </c>
      <c r="I238" s="91">
        <f t="shared" si="61"/>
        <v>0</v>
      </c>
      <c r="J238" s="91">
        <f t="shared" si="61"/>
        <v>0</v>
      </c>
      <c r="K238" s="89"/>
      <c r="L238" s="89"/>
      <c r="M238" s="89"/>
      <c r="N238" s="89"/>
      <c r="O238" s="89"/>
      <c r="P238" s="89"/>
      <c r="Q238" s="89"/>
      <c r="R238" s="89"/>
      <c r="S238" s="89"/>
      <c r="T238" s="89"/>
      <c r="U238" s="89"/>
      <c r="V238" s="89"/>
      <c r="W238" s="89"/>
    </row>
    <row r="239" spans="1:23" x14ac:dyDescent="0.2">
      <c r="A239" s="90" t="str">
        <f>A175</f>
        <v>Pomegranate</v>
      </c>
      <c r="B239" s="90"/>
      <c r="C239" s="232"/>
      <c r="D239" s="91">
        <f t="shared" ref="D239:J243" si="62">C107*$C239*D$124</f>
        <v>0</v>
      </c>
      <c r="E239" s="91">
        <f t="shared" si="62"/>
        <v>0</v>
      </c>
      <c r="F239" s="91">
        <f t="shared" si="62"/>
        <v>0</v>
      </c>
      <c r="G239" s="91">
        <f t="shared" si="62"/>
        <v>0</v>
      </c>
      <c r="H239" s="91">
        <f t="shared" si="62"/>
        <v>0</v>
      </c>
      <c r="I239" s="91">
        <f t="shared" si="62"/>
        <v>0</v>
      </c>
      <c r="J239" s="91">
        <f t="shared" si="62"/>
        <v>0</v>
      </c>
      <c r="K239" s="89"/>
      <c r="L239" s="89"/>
      <c r="M239" s="89"/>
      <c r="N239" s="89"/>
      <c r="O239" s="89"/>
      <c r="P239" s="89"/>
      <c r="Q239" s="89"/>
      <c r="R239" s="89"/>
      <c r="S239" s="89"/>
      <c r="T239" s="89"/>
      <c r="U239" s="89"/>
      <c r="V239" s="89"/>
      <c r="W239" s="89"/>
    </row>
    <row r="240" spans="1:23" x14ac:dyDescent="0.2">
      <c r="A240" s="90" t="str">
        <f>A176</f>
        <v>Custard Apple</v>
      </c>
      <c r="B240" s="90"/>
      <c r="C240" s="232"/>
      <c r="D240" s="91">
        <f t="shared" si="62"/>
        <v>0</v>
      </c>
      <c r="E240" s="91">
        <f t="shared" si="62"/>
        <v>0</v>
      </c>
      <c r="F240" s="91">
        <f t="shared" si="62"/>
        <v>0</v>
      </c>
      <c r="G240" s="91">
        <f t="shared" si="62"/>
        <v>0</v>
      </c>
      <c r="H240" s="91">
        <f t="shared" si="62"/>
        <v>0</v>
      </c>
      <c r="I240" s="91">
        <f t="shared" si="62"/>
        <v>0</v>
      </c>
      <c r="J240" s="91">
        <f t="shared" si="62"/>
        <v>0</v>
      </c>
      <c r="K240" s="89"/>
      <c r="L240" s="89"/>
      <c r="M240" s="89"/>
      <c r="N240" s="89"/>
      <c r="O240" s="89"/>
      <c r="P240" s="89"/>
      <c r="Q240" s="89"/>
      <c r="R240" s="89"/>
      <c r="S240" s="89"/>
      <c r="T240" s="89"/>
      <c r="U240" s="89"/>
      <c r="V240" s="89"/>
      <c r="W240" s="89"/>
    </row>
    <row r="241" spans="1:23" x14ac:dyDescent="0.2">
      <c r="A241" s="90" t="str">
        <f>A177</f>
        <v>Guava</v>
      </c>
      <c r="B241" s="90"/>
      <c r="C241" s="232"/>
      <c r="D241" s="91">
        <f t="shared" si="62"/>
        <v>0</v>
      </c>
      <c r="E241" s="91">
        <f t="shared" si="62"/>
        <v>0</v>
      </c>
      <c r="F241" s="91">
        <f t="shared" si="62"/>
        <v>0</v>
      </c>
      <c r="G241" s="91">
        <f t="shared" si="62"/>
        <v>0</v>
      </c>
      <c r="H241" s="91">
        <f t="shared" si="62"/>
        <v>0</v>
      </c>
      <c r="I241" s="91">
        <f t="shared" si="62"/>
        <v>0</v>
      </c>
      <c r="J241" s="91">
        <f t="shared" si="62"/>
        <v>0</v>
      </c>
      <c r="K241" s="89"/>
      <c r="L241" s="89"/>
      <c r="M241" s="89"/>
      <c r="N241" s="89"/>
      <c r="O241" s="89"/>
      <c r="P241" s="89"/>
      <c r="Q241" s="89"/>
      <c r="R241" s="89"/>
      <c r="S241" s="89"/>
      <c r="T241" s="89"/>
      <c r="U241" s="89"/>
      <c r="V241" s="89"/>
      <c r="W241" s="89"/>
    </row>
    <row r="242" spans="1:23" x14ac:dyDescent="0.2">
      <c r="A242" s="90" t="str">
        <f>A178</f>
        <v>Citrus</v>
      </c>
      <c r="B242" s="90"/>
      <c r="C242" s="232"/>
      <c r="D242" s="91">
        <f t="shared" si="62"/>
        <v>0</v>
      </c>
      <c r="E242" s="91">
        <f t="shared" si="62"/>
        <v>0</v>
      </c>
      <c r="F242" s="91">
        <f t="shared" si="62"/>
        <v>0</v>
      </c>
      <c r="G242" s="91">
        <f t="shared" si="62"/>
        <v>0</v>
      </c>
      <c r="H242" s="91">
        <f t="shared" si="62"/>
        <v>0</v>
      </c>
      <c r="I242" s="91">
        <f t="shared" si="62"/>
        <v>0</v>
      </c>
      <c r="J242" s="91">
        <f t="shared" si="62"/>
        <v>0</v>
      </c>
      <c r="K242" s="89"/>
      <c r="L242" s="89"/>
      <c r="M242" s="89"/>
      <c r="N242" s="89"/>
      <c r="O242" s="89"/>
      <c r="P242" s="89"/>
      <c r="Q242" s="89"/>
      <c r="R242" s="89"/>
      <c r="S242" s="89"/>
      <c r="T242" s="89"/>
      <c r="U242" s="89"/>
      <c r="V242" s="89"/>
      <c r="W242" s="89"/>
    </row>
    <row r="243" spans="1:23" x14ac:dyDescent="0.2">
      <c r="A243" s="90">
        <f>A179</f>
        <v>0</v>
      </c>
      <c r="B243" s="90"/>
      <c r="C243" s="232"/>
      <c r="D243" s="91">
        <f t="shared" si="62"/>
        <v>0</v>
      </c>
      <c r="E243" s="91">
        <f t="shared" si="62"/>
        <v>0</v>
      </c>
      <c r="F243" s="91">
        <f t="shared" si="62"/>
        <v>0</v>
      </c>
      <c r="G243" s="91">
        <f t="shared" si="62"/>
        <v>0</v>
      </c>
      <c r="H243" s="91">
        <f t="shared" si="62"/>
        <v>0</v>
      </c>
      <c r="I243" s="91">
        <f t="shared" si="62"/>
        <v>0</v>
      </c>
      <c r="J243" s="91">
        <f t="shared" si="62"/>
        <v>0</v>
      </c>
      <c r="K243" s="89"/>
      <c r="L243" s="89"/>
      <c r="M243" s="89"/>
      <c r="N243" s="89"/>
      <c r="O243" s="89"/>
      <c r="P243" s="89"/>
      <c r="Q243" s="89"/>
      <c r="R243" s="89"/>
      <c r="S243" s="89"/>
      <c r="T243" s="89"/>
      <c r="U243" s="89"/>
      <c r="V243" s="89"/>
      <c r="W243" s="89"/>
    </row>
    <row r="244" spans="1:23" x14ac:dyDescent="0.2">
      <c r="A244" s="90" t="str">
        <f>A181</f>
        <v>Fertilizer(Rate/KG)</v>
      </c>
      <c r="B244" s="90"/>
      <c r="C244" s="91"/>
      <c r="D244" s="91"/>
      <c r="E244" s="91"/>
      <c r="F244" s="91"/>
      <c r="G244" s="91"/>
      <c r="H244" s="91"/>
      <c r="I244" s="91"/>
      <c r="J244" s="91"/>
      <c r="K244" s="89"/>
      <c r="L244" s="89"/>
      <c r="M244" s="89"/>
      <c r="N244" s="89"/>
      <c r="O244" s="89"/>
      <c r="P244" s="89"/>
      <c r="Q244" s="89"/>
      <c r="R244" s="89"/>
      <c r="S244" s="89"/>
      <c r="T244" s="89"/>
      <c r="U244" s="89"/>
      <c r="V244" s="89"/>
      <c r="W244" s="89"/>
    </row>
    <row r="245" spans="1:23" x14ac:dyDescent="0.2">
      <c r="A245" s="90" t="str">
        <f>A182</f>
        <v>SSP</v>
      </c>
      <c r="B245" s="90"/>
      <c r="C245" s="362">
        <v>6.9</v>
      </c>
      <c r="D245" s="91">
        <f t="shared" ref="D245:J245" si="63">C114*$C$245*D124</f>
        <v>42031660.5</v>
      </c>
      <c r="E245" s="91">
        <f t="shared" si="63"/>
        <v>49649898.96562501</v>
      </c>
      <c r="F245" s="91">
        <f t="shared" si="63"/>
        <v>57924882.126562499</v>
      </c>
      <c r="G245" s="91">
        <f t="shared" si="63"/>
        <v>66903238.856179692</v>
      </c>
      <c r="H245" s="91">
        <f t="shared" si="63"/>
        <v>76634619.053442195</v>
      </c>
      <c r="I245" s="91">
        <f t="shared" si="63"/>
        <v>87171879.173290536</v>
      </c>
      <c r="J245" s="91">
        <f t="shared" si="63"/>
        <v>98571278.757490069</v>
      </c>
      <c r="K245" s="89"/>
      <c r="L245" s="89"/>
      <c r="M245" s="89"/>
      <c r="N245" s="89"/>
      <c r="O245" s="89"/>
      <c r="P245" s="89"/>
      <c r="Q245" s="89"/>
      <c r="R245" s="89"/>
      <c r="S245" s="89"/>
      <c r="T245" s="89"/>
      <c r="U245" s="89"/>
      <c r="V245" s="89"/>
      <c r="W245" s="89"/>
    </row>
    <row r="246" spans="1:23" x14ac:dyDescent="0.2">
      <c r="A246" s="90" t="str">
        <f>A183</f>
        <v>Urea</v>
      </c>
      <c r="B246" s="90"/>
      <c r="C246" s="363">
        <v>7.9</v>
      </c>
      <c r="D246" s="91">
        <f t="shared" ref="D246:J246" si="64">C115*$C$246*D124</f>
        <v>14436961.650000002</v>
      </c>
      <c r="E246" s="91">
        <f t="shared" si="64"/>
        <v>17053660.949062504</v>
      </c>
      <c r="F246" s="91">
        <f t="shared" si="64"/>
        <v>19895937.77390625</v>
      </c>
      <c r="G246" s="91">
        <f t="shared" si="64"/>
        <v>22979808.128861722</v>
      </c>
      <c r="H246" s="91">
        <f t="shared" si="64"/>
        <v>26322325.674877975</v>
      </c>
      <c r="I246" s="91">
        <f t="shared" si="64"/>
        <v>29941645.455173705</v>
      </c>
      <c r="J246" s="91">
        <f t="shared" si="64"/>
        <v>33857091.399311803</v>
      </c>
      <c r="K246" s="89"/>
      <c r="L246" s="89"/>
      <c r="M246" s="89"/>
      <c r="N246" s="89"/>
      <c r="O246" s="89"/>
      <c r="P246" s="89"/>
      <c r="Q246" s="89"/>
      <c r="R246" s="89"/>
      <c r="S246" s="89"/>
      <c r="T246" s="89"/>
      <c r="U246" s="89"/>
      <c r="V246" s="89"/>
      <c r="W246" s="89"/>
    </row>
    <row r="247" spans="1:23" x14ac:dyDescent="0.2">
      <c r="A247" s="90" t="str">
        <f>A184</f>
        <v>DAP</v>
      </c>
      <c r="B247" s="90"/>
      <c r="C247" s="363">
        <v>29.5</v>
      </c>
      <c r="D247" s="91">
        <f t="shared" ref="D247:J247" si="65">C116*$C$247*D124</f>
        <v>53910173.250000007</v>
      </c>
      <c r="E247" s="91">
        <f t="shared" si="65"/>
        <v>63681392.151562512</v>
      </c>
      <c r="F247" s="91">
        <f t="shared" si="65"/>
        <v>74294957.510156259</v>
      </c>
      <c r="G247" s="91">
        <f t="shared" si="65"/>
        <v>85810675.924230471</v>
      </c>
      <c r="H247" s="91">
        <f t="shared" si="65"/>
        <v>98292228.785936743</v>
      </c>
      <c r="I247" s="91">
        <f t="shared" si="65"/>
        <v>111807410.24400307</v>
      </c>
      <c r="J247" s="91">
        <f t="shared" si="65"/>
        <v>126428379.27591117</v>
      </c>
      <c r="K247" s="89"/>
      <c r="L247" s="89"/>
      <c r="M247" s="89"/>
      <c r="N247" s="89"/>
      <c r="O247" s="89"/>
      <c r="P247" s="89"/>
      <c r="Q247" s="89"/>
      <c r="R247" s="89"/>
      <c r="S247" s="89"/>
      <c r="T247" s="89"/>
      <c r="U247" s="89"/>
      <c r="V247" s="89"/>
      <c r="W247" s="89"/>
    </row>
    <row r="248" spans="1:23" x14ac:dyDescent="0.2">
      <c r="A248" s="90"/>
      <c r="B248" s="90"/>
      <c r="C248" s="91"/>
      <c r="D248" s="91"/>
      <c r="E248" s="91"/>
      <c r="F248" s="91"/>
      <c r="G248" s="91"/>
      <c r="H248" s="91"/>
      <c r="I248" s="91"/>
      <c r="J248" s="91"/>
      <c r="K248" s="89"/>
      <c r="L248" s="89"/>
      <c r="M248" s="89"/>
      <c r="N248" s="89"/>
      <c r="O248" s="89"/>
      <c r="P248" s="89"/>
      <c r="Q248" s="89"/>
      <c r="R248" s="89"/>
      <c r="S248" s="89"/>
      <c r="T248" s="89"/>
      <c r="U248" s="89"/>
      <c r="V248" s="89"/>
      <c r="W248" s="89"/>
    </row>
    <row r="249" spans="1:23" x14ac:dyDescent="0.2">
      <c r="A249" s="90" t="str">
        <f>A186</f>
        <v>Pesticide</v>
      </c>
      <c r="B249" s="90"/>
      <c r="C249" s="91"/>
      <c r="D249" s="91"/>
      <c r="E249" s="91"/>
      <c r="F249" s="91"/>
      <c r="G249" s="91"/>
      <c r="H249" s="91"/>
      <c r="I249" s="91"/>
      <c r="J249" s="91"/>
      <c r="K249" s="89"/>
      <c r="L249" s="89"/>
      <c r="M249" s="89"/>
      <c r="N249" s="89"/>
      <c r="O249" s="89"/>
      <c r="P249" s="89"/>
      <c r="Q249" s="89"/>
      <c r="R249" s="89"/>
      <c r="S249" s="89"/>
      <c r="T249" s="89"/>
      <c r="U249" s="89"/>
      <c r="V249" s="89"/>
      <c r="W249" s="89"/>
    </row>
    <row r="250" spans="1:23" x14ac:dyDescent="0.2">
      <c r="A250" s="90" t="str">
        <f>A187</f>
        <v>Dupont Coragen</v>
      </c>
      <c r="B250" s="90"/>
      <c r="C250" s="232">
        <v>4850</v>
      </c>
      <c r="D250" s="91">
        <f t="shared" ref="D250:J250" si="66">C118*$C$250*D124</f>
        <v>59087986.500000007</v>
      </c>
      <c r="E250" s="91">
        <f t="shared" si="66"/>
        <v>69797684.053125009</v>
      </c>
      <c r="F250" s="91">
        <f t="shared" si="66"/>
        <v>81430631.395312503</v>
      </c>
      <c r="G250" s="91">
        <f t="shared" si="66"/>
        <v>94052379.261585951</v>
      </c>
      <c r="H250" s="91">
        <f t="shared" si="66"/>
        <v>107732725.33599848</v>
      </c>
      <c r="I250" s="91">
        <f t="shared" si="66"/>
        <v>122545975.06969829</v>
      </c>
      <c r="J250" s="91">
        <f t="shared" si="66"/>
        <v>138571217.96342808</v>
      </c>
      <c r="K250" s="89"/>
      <c r="L250" s="89"/>
      <c r="M250" s="89"/>
      <c r="N250" s="89"/>
      <c r="O250" s="89"/>
      <c r="P250" s="89"/>
      <c r="Q250" s="89"/>
      <c r="R250" s="89"/>
      <c r="S250" s="89"/>
      <c r="T250" s="89"/>
      <c r="U250" s="89"/>
      <c r="V250" s="89"/>
      <c r="W250" s="89"/>
    </row>
    <row r="251" spans="1:23" x14ac:dyDescent="0.2">
      <c r="A251" s="90" t="str">
        <f>A188</f>
        <v>Confidor Boyer</v>
      </c>
      <c r="B251" s="90"/>
      <c r="C251" s="232">
        <v>2900</v>
      </c>
      <c r="D251" s="91">
        <f t="shared" ref="D251:J251" si="67">C119*$C$251*D124</f>
        <v>88327402.5</v>
      </c>
      <c r="E251" s="91">
        <f t="shared" si="67"/>
        <v>104336744.20312501</v>
      </c>
      <c r="F251" s="91">
        <f t="shared" si="67"/>
        <v>121726201.5703125</v>
      </c>
      <c r="G251" s="91">
        <f t="shared" si="67"/>
        <v>140593762.81371093</v>
      </c>
      <c r="H251" s="91">
        <f t="shared" si="67"/>
        <v>161043764.67752346</v>
      </c>
      <c r="I251" s="91">
        <f t="shared" si="67"/>
        <v>183187282.320683</v>
      </c>
      <c r="J251" s="91">
        <f t="shared" si="67"/>
        <v>207142542.31646463</v>
      </c>
      <c r="K251" s="89"/>
      <c r="L251" s="89"/>
      <c r="M251" s="89"/>
      <c r="N251" s="89"/>
      <c r="O251" s="89"/>
      <c r="P251" s="89"/>
      <c r="Q251" s="89"/>
      <c r="R251" s="89"/>
      <c r="S251" s="89"/>
      <c r="T251" s="89"/>
      <c r="U251" s="89"/>
      <c r="V251" s="89"/>
      <c r="W251" s="89"/>
    </row>
    <row r="252" spans="1:23" x14ac:dyDescent="0.2">
      <c r="A252" s="90"/>
      <c r="B252" s="90"/>
      <c r="C252" s="91"/>
      <c r="D252" s="91"/>
      <c r="E252" s="91"/>
      <c r="F252" s="91"/>
      <c r="G252" s="91"/>
      <c r="H252" s="91"/>
      <c r="I252" s="91"/>
      <c r="J252" s="91"/>
      <c r="K252" s="89"/>
      <c r="L252" s="89"/>
      <c r="M252" s="89"/>
      <c r="N252" s="89"/>
      <c r="O252" s="89"/>
      <c r="P252" s="89"/>
      <c r="Q252" s="89"/>
      <c r="R252" s="89"/>
      <c r="S252" s="89"/>
      <c r="T252" s="89"/>
      <c r="U252" s="89"/>
      <c r="V252" s="89"/>
      <c r="W252" s="89"/>
    </row>
    <row r="253" spans="1:23" x14ac:dyDescent="0.2">
      <c r="A253" s="90" t="s">
        <v>293</v>
      </c>
      <c r="B253" s="90"/>
      <c r="C253" s="232">
        <v>13</v>
      </c>
      <c r="D253" s="91">
        <f>(SUM(C62:C119)/50)*$C$253*D124</f>
        <v>2561007.3489000001</v>
      </c>
      <c r="E253" s="91">
        <f t="shared" ref="E253:J253" si="68">(SUM(D62:D119)/50)*$C$253*E124</f>
        <v>3025189.9308881261</v>
      </c>
      <c r="F253" s="91">
        <f t="shared" si="68"/>
        <v>3529388.2527028131</v>
      </c>
      <c r="G253" s="91">
        <f t="shared" si="68"/>
        <v>4076443.4318717476</v>
      </c>
      <c r="H253" s="91">
        <f t="shared" si="68"/>
        <v>4669380.6583258221</v>
      </c>
      <c r="I253" s="91">
        <f t="shared" si="68"/>
        <v>5311420.4988456229</v>
      </c>
      <c r="J253" s="91">
        <f t="shared" si="68"/>
        <v>6005990.8717715889</v>
      </c>
      <c r="K253" s="89"/>
      <c r="L253" s="89"/>
      <c r="M253" s="89"/>
      <c r="N253" s="89"/>
      <c r="O253" s="89"/>
      <c r="P253" s="89"/>
      <c r="Q253" s="89"/>
      <c r="R253" s="89"/>
      <c r="S253" s="89"/>
      <c r="T253" s="89"/>
      <c r="U253" s="89"/>
      <c r="V253" s="89"/>
      <c r="W253" s="89"/>
    </row>
    <row r="254" spans="1:23" x14ac:dyDescent="0.2">
      <c r="A254" s="90" t="s">
        <v>173</v>
      </c>
      <c r="B254" s="90"/>
      <c r="C254" s="232">
        <v>15</v>
      </c>
      <c r="D254" s="91">
        <f>(SUM(C62:C119)/50)*$C$254*D124</f>
        <v>2955008.4795000004</v>
      </c>
      <c r="E254" s="91">
        <f t="shared" ref="E254:J254" si="69">(SUM(D62:D119)/50)*$C$254*E124</f>
        <v>3490603.7664093762</v>
      </c>
      <c r="F254" s="91">
        <f t="shared" si="69"/>
        <v>4072371.060810938</v>
      </c>
      <c r="G254" s="91">
        <f t="shared" si="69"/>
        <v>4703588.5752366316</v>
      </c>
      <c r="H254" s="91">
        <f t="shared" si="69"/>
        <v>5387746.9134528711</v>
      </c>
      <c r="I254" s="91">
        <f t="shared" si="69"/>
        <v>6128562.1140526421</v>
      </c>
      <c r="J254" s="91">
        <f t="shared" si="69"/>
        <v>6929989.4674287569</v>
      </c>
      <c r="K254" s="89"/>
      <c r="L254" s="89"/>
      <c r="M254" s="89"/>
      <c r="N254" s="89"/>
      <c r="O254" s="89"/>
      <c r="P254" s="89"/>
      <c r="Q254" s="89"/>
      <c r="R254" s="89"/>
      <c r="S254" s="89"/>
      <c r="T254" s="89"/>
      <c r="U254" s="89"/>
      <c r="V254" s="89"/>
      <c r="W254" s="89"/>
    </row>
    <row r="255" spans="1:23" x14ac:dyDescent="0.2">
      <c r="A255" s="90"/>
      <c r="B255" s="90"/>
      <c r="C255" s="232"/>
      <c r="D255" s="202"/>
      <c r="E255" s="91"/>
      <c r="F255" s="91"/>
      <c r="G255" s="91"/>
      <c r="H255" s="91"/>
      <c r="I255" s="91"/>
      <c r="J255" s="91"/>
      <c r="K255" s="89"/>
      <c r="L255" s="89"/>
      <c r="M255" s="89"/>
      <c r="N255" s="89"/>
      <c r="O255" s="89"/>
      <c r="P255" s="89"/>
      <c r="Q255" s="89"/>
      <c r="R255" s="89"/>
      <c r="S255" s="89"/>
      <c r="T255" s="89"/>
      <c r="U255" s="89"/>
      <c r="V255" s="89"/>
      <c r="W255" s="89"/>
    </row>
    <row r="256" spans="1:23" x14ac:dyDescent="0.2">
      <c r="A256" s="90"/>
      <c r="B256" s="90"/>
      <c r="C256" s="232"/>
      <c r="D256" s="202"/>
      <c r="E256" s="91"/>
      <c r="F256" s="91"/>
      <c r="G256" s="91"/>
      <c r="H256" s="91"/>
      <c r="I256" s="91"/>
      <c r="J256" s="91"/>
      <c r="K256" s="89"/>
      <c r="L256" s="89"/>
      <c r="M256" s="89"/>
      <c r="N256" s="89"/>
      <c r="O256" s="89"/>
      <c r="P256" s="89"/>
      <c r="Q256" s="89"/>
      <c r="R256" s="89"/>
      <c r="S256" s="89"/>
      <c r="T256" s="89"/>
      <c r="U256" s="89"/>
      <c r="V256" s="89"/>
      <c r="W256" s="89"/>
    </row>
    <row r="257" spans="1:23" x14ac:dyDescent="0.2">
      <c r="A257" s="90"/>
      <c r="B257" s="90"/>
      <c r="C257" s="232"/>
      <c r="D257" s="202"/>
      <c r="E257" s="91"/>
      <c r="F257" s="91"/>
      <c r="G257" s="91"/>
      <c r="H257" s="91"/>
      <c r="I257" s="91"/>
      <c r="J257" s="91"/>
      <c r="K257" s="89"/>
      <c r="L257" s="89"/>
      <c r="M257" s="89"/>
      <c r="N257" s="89"/>
      <c r="O257" s="89"/>
      <c r="P257" s="89"/>
      <c r="Q257" s="89"/>
      <c r="R257" s="89"/>
      <c r="S257" s="89"/>
      <c r="T257" s="89"/>
      <c r="U257" s="89"/>
      <c r="V257" s="89"/>
      <c r="W257" s="89"/>
    </row>
    <row r="258" spans="1:23" x14ac:dyDescent="0.2">
      <c r="A258" s="90"/>
      <c r="B258" s="90"/>
      <c r="C258" s="232"/>
      <c r="D258" s="202"/>
      <c r="E258" s="91"/>
      <c r="F258" s="91"/>
      <c r="G258" s="91"/>
      <c r="H258" s="91"/>
      <c r="I258" s="91"/>
      <c r="J258" s="91"/>
      <c r="K258" s="89"/>
      <c r="L258" s="89"/>
      <c r="M258" s="89"/>
      <c r="N258" s="89"/>
      <c r="O258" s="89"/>
      <c r="P258" s="89"/>
      <c r="Q258" s="89"/>
      <c r="R258" s="89"/>
      <c r="S258" s="89"/>
      <c r="T258" s="89"/>
      <c r="U258" s="89"/>
      <c r="V258" s="89"/>
      <c r="W258" s="89"/>
    </row>
    <row r="259" spans="1:23" x14ac:dyDescent="0.2">
      <c r="A259" s="90" t="s">
        <v>345</v>
      </c>
      <c r="B259" s="90"/>
      <c r="C259" s="91"/>
      <c r="D259" s="202"/>
      <c r="E259" s="91">
        <f>'5.Closing Stock &amp; W Capital'!F6</f>
        <v>2618763.2460000003</v>
      </c>
      <c r="F259" s="91">
        <f>'5.Closing Stock &amp; W Capital'!G6</f>
        <v>3093414.0843375004</v>
      </c>
      <c r="G259" s="91">
        <f>'5.Closing Stock &amp; W Capital'!H6</f>
        <v>3608983.0983937504</v>
      </c>
      <c r="H259" s="91">
        <f>'5.Closing Stock &amp; W Capital'!I6</f>
        <v>4168375.4786447813</v>
      </c>
      <c r="I259" s="91">
        <f>'5.Closing Stock &amp; W Capital'!J6</f>
        <v>4774684.6391749326</v>
      </c>
      <c r="J259" s="91">
        <f>'5.Closing Stock &amp; W Capital'!K6</f>
        <v>5431203.7770614866</v>
      </c>
      <c r="K259" s="89"/>
      <c r="L259" s="89"/>
      <c r="M259" s="89"/>
      <c r="N259" s="89"/>
      <c r="O259" s="89"/>
      <c r="P259" s="89"/>
      <c r="Q259" s="89"/>
      <c r="R259" s="89"/>
      <c r="S259" s="89"/>
      <c r="T259" s="89"/>
      <c r="U259" s="89"/>
      <c r="V259" s="89"/>
      <c r="W259" s="89"/>
    </row>
    <row r="260" spans="1:23" x14ac:dyDescent="0.2">
      <c r="A260" s="94" t="s">
        <v>346</v>
      </c>
      <c r="B260" s="90"/>
      <c r="C260" s="90"/>
      <c r="D260" s="202">
        <f>'5.Closing Stock &amp; W Capital'!E15</f>
        <v>2618763.2460000003</v>
      </c>
      <c r="E260" s="91">
        <f>'5.Closing Stock &amp; W Capital'!F15</f>
        <v>3093414.0843375004</v>
      </c>
      <c r="F260" s="91">
        <f>'5.Closing Stock &amp; W Capital'!G15</f>
        <v>3608983.0983937504</v>
      </c>
      <c r="G260" s="91">
        <f>'5.Closing Stock &amp; W Capital'!H15</f>
        <v>4168375.4786447813</v>
      </c>
      <c r="H260" s="91">
        <f>'5.Closing Stock &amp; W Capital'!I15</f>
        <v>4774684.6391749326</v>
      </c>
      <c r="I260" s="91">
        <f>'5.Closing Stock &amp; W Capital'!J15</f>
        <v>5431203.7770614866</v>
      </c>
      <c r="J260" s="91">
        <f>'5.Closing Stock &amp; W Capital'!K15</f>
        <v>6141438.1171387592</v>
      </c>
      <c r="K260" s="89"/>
      <c r="L260" s="89"/>
      <c r="M260" s="89"/>
      <c r="N260" s="89"/>
      <c r="O260" s="89"/>
      <c r="P260" s="89"/>
      <c r="Q260" s="89"/>
      <c r="R260" s="89"/>
      <c r="S260" s="89"/>
      <c r="T260" s="89"/>
      <c r="U260" s="89"/>
      <c r="V260" s="89"/>
      <c r="W260" s="89"/>
    </row>
    <row r="261" spans="1:23" x14ac:dyDescent="0.2">
      <c r="A261" s="90"/>
      <c r="B261" s="90"/>
      <c r="C261" s="90"/>
      <c r="D261" s="89"/>
      <c r="E261" s="89"/>
      <c r="F261" s="89"/>
      <c r="G261" s="89"/>
      <c r="H261" s="89"/>
      <c r="I261" s="89"/>
      <c r="J261" s="89"/>
      <c r="K261" s="89"/>
      <c r="L261" s="89"/>
      <c r="M261" s="89"/>
      <c r="N261" s="89"/>
      <c r="O261" s="89"/>
      <c r="P261" s="89"/>
      <c r="Q261" s="89"/>
      <c r="R261" s="89"/>
      <c r="S261" s="89"/>
      <c r="T261" s="89"/>
      <c r="U261" s="89"/>
      <c r="V261" s="89"/>
      <c r="W261" s="89"/>
    </row>
    <row r="262" spans="1:23" x14ac:dyDescent="0.2">
      <c r="A262" s="92" t="s">
        <v>325</v>
      </c>
      <c r="B262" s="92"/>
      <c r="C262" s="110"/>
      <c r="D262" s="110">
        <f>SUM(D197:D258)+D259-D260</f>
        <v>264773577.18240002</v>
      </c>
      <c r="E262" s="110">
        <f t="shared" ref="E262:J262" si="70">SUM(E197:E258)+E259-E260</f>
        <v>315382551.29271007</v>
      </c>
      <c r="F262" s="110">
        <f t="shared" si="70"/>
        <v>367984500.13883251</v>
      </c>
      <c r="G262" s="110">
        <f t="shared" si="70"/>
        <v>425058187.49133545</v>
      </c>
      <c r="H262" s="110">
        <f t="shared" si="70"/>
        <v>486919282.32874179</v>
      </c>
      <c r="I262" s="110">
        <f t="shared" si="70"/>
        <v>553903841.18116033</v>
      </c>
      <c r="J262" s="110">
        <f t="shared" si="70"/>
        <v>626369557.71299899</v>
      </c>
      <c r="K262" s="89"/>
      <c r="L262" s="89"/>
      <c r="M262" s="89"/>
      <c r="N262" s="89"/>
      <c r="O262" s="89"/>
      <c r="P262" s="89"/>
      <c r="Q262" s="89"/>
      <c r="R262" s="89"/>
      <c r="S262" s="89"/>
      <c r="T262" s="89"/>
      <c r="U262" s="89"/>
      <c r="V262" s="89"/>
      <c r="W262" s="89"/>
    </row>
    <row r="263" spans="1:23" x14ac:dyDescent="0.2">
      <c r="A263" s="90"/>
      <c r="B263" s="90"/>
      <c r="C263" s="91"/>
      <c r="D263" s="91"/>
      <c r="E263" s="91"/>
      <c r="F263" s="91"/>
      <c r="G263" s="91"/>
      <c r="H263" s="91"/>
      <c r="I263" s="91"/>
      <c r="J263" s="91"/>
      <c r="K263" s="89"/>
      <c r="L263" s="89"/>
      <c r="M263" s="89"/>
      <c r="N263" s="89"/>
      <c r="O263" s="89"/>
      <c r="P263" s="89"/>
      <c r="Q263" s="89"/>
      <c r="R263" s="89"/>
      <c r="S263" s="89"/>
      <c r="T263" s="89"/>
      <c r="U263" s="89"/>
      <c r="V263" s="89"/>
      <c r="W263" s="89"/>
    </row>
    <row r="264" spans="1:23" x14ac:dyDescent="0.2">
      <c r="A264" s="92" t="s">
        <v>312</v>
      </c>
      <c r="B264" s="92"/>
      <c r="C264" s="91"/>
      <c r="D264" s="91"/>
      <c r="E264" s="91"/>
      <c r="F264" s="91"/>
      <c r="G264" s="91"/>
      <c r="H264" s="91"/>
      <c r="I264" s="91"/>
      <c r="J264" s="91"/>
      <c r="K264" s="89"/>
      <c r="L264" s="89"/>
      <c r="M264" s="89"/>
      <c r="N264" s="89"/>
      <c r="O264" s="89"/>
      <c r="P264" s="89"/>
      <c r="Q264" s="89"/>
      <c r="R264" s="89"/>
      <c r="S264" s="89"/>
      <c r="T264" s="89"/>
      <c r="U264" s="89"/>
      <c r="V264" s="89"/>
      <c r="W264" s="89"/>
    </row>
    <row r="265" spans="1:23" x14ac:dyDescent="0.2">
      <c r="A265" s="90" t="s">
        <v>330</v>
      </c>
      <c r="B265" s="90">
        <v>12</v>
      </c>
      <c r="C265" s="232">
        <v>10000</v>
      </c>
      <c r="D265" s="91">
        <f t="shared" ref="D265:J265" si="71">$B$265*$C$265*D124</f>
        <v>120000</v>
      </c>
      <c r="E265" s="91">
        <f t="shared" si="71"/>
        <v>126000</v>
      </c>
      <c r="F265" s="91">
        <f t="shared" si="71"/>
        <v>132300</v>
      </c>
      <c r="G265" s="91">
        <f t="shared" si="71"/>
        <v>138915.00000000003</v>
      </c>
      <c r="H265" s="91">
        <f t="shared" si="71"/>
        <v>145860.75000000003</v>
      </c>
      <c r="I265" s="91">
        <f t="shared" si="71"/>
        <v>153153.78750000003</v>
      </c>
      <c r="J265" s="91">
        <f t="shared" si="71"/>
        <v>160811.47687500005</v>
      </c>
      <c r="K265" s="89"/>
      <c r="L265" s="89"/>
      <c r="M265" s="89"/>
      <c r="N265" s="89"/>
      <c r="O265" s="89"/>
      <c r="P265" s="89"/>
      <c r="Q265" s="89"/>
      <c r="R265" s="89"/>
      <c r="S265" s="89"/>
      <c r="T265" s="89"/>
      <c r="U265" s="89"/>
      <c r="V265" s="89"/>
      <c r="W265" s="89"/>
    </row>
    <row r="266" spans="1:23" x14ac:dyDescent="0.2">
      <c r="A266" s="90" t="s">
        <v>331</v>
      </c>
      <c r="B266" s="223">
        <v>1</v>
      </c>
      <c r="C266" s="232">
        <v>15000</v>
      </c>
      <c r="D266" s="91">
        <f t="shared" ref="D266:J266" si="72">$B$266*$C$266*12*D124</f>
        <v>180000</v>
      </c>
      <c r="E266" s="91">
        <f t="shared" si="72"/>
        <v>189000</v>
      </c>
      <c r="F266" s="91">
        <f t="shared" si="72"/>
        <v>198450</v>
      </c>
      <c r="G266" s="91">
        <f t="shared" si="72"/>
        <v>208372.50000000003</v>
      </c>
      <c r="H266" s="91">
        <f t="shared" si="72"/>
        <v>218791.12500000003</v>
      </c>
      <c r="I266" s="91">
        <f t="shared" si="72"/>
        <v>229730.68125000005</v>
      </c>
      <c r="J266" s="91">
        <f t="shared" si="72"/>
        <v>241217.21531250008</v>
      </c>
      <c r="K266" s="89"/>
      <c r="L266" s="89"/>
      <c r="M266" s="89"/>
      <c r="N266" s="89"/>
      <c r="O266" s="89"/>
      <c r="P266" s="89"/>
      <c r="Q266" s="89"/>
      <c r="R266" s="89"/>
      <c r="S266" s="89"/>
      <c r="T266" s="89"/>
      <c r="U266" s="89"/>
      <c r="V266" s="89"/>
      <c r="W266" s="89"/>
    </row>
    <row r="267" spans="1:23" x14ac:dyDescent="0.2">
      <c r="A267" s="90" t="s">
        <v>194</v>
      </c>
      <c r="B267" s="223">
        <v>1</v>
      </c>
      <c r="C267" s="232">
        <v>10000</v>
      </c>
      <c r="D267" s="91">
        <f t="shared" ref="D267:J267" si="73">$B$267*$C$267*12*D124</f>
        <v>120000</v>
      </c>
      <c r="E267" s="91">
        <f t="shared" si="73"/>
        <v>126000</v>
      </c>
      <c r="F267" s="91">
        <f t="shared" si="73"/>
        <v>132300</v>
      </c>
      <c r="G267" s="91">
        <f t="shared" si="73"/>
        <v>138915.00000000003</v>
      </c>
      <c r="H267" s="91">
        <f t="shared" si="73"/>
        <v>145860.75000000003</v>
      </c>
      <c r="I267" s="91">
        <f t="shared" si="73"/>
        <v>153153.78750000003</v>
      </c>
      <c r="J267" s="91">
        <f t="shared" si="73"/>
        <v>160811.47687500005</v>
      </c>
      <c r="K267" s="89"/>
      <c r="L267" s="89"/>
      <c r="M267" s="89"/>
      <c r="N267" s="89"/>
      <c r="O267" s="89"/>
      <c r="P267" s="89"/>
      <c r="Q267" s="89"/>
      <c r="R267" s="89"/>
      <c r="S267" s="89"/>
      <c r="T267" s="89"/>
      <c r="U267" s="89"/>
      <c r="V267" s="89"/>
      <c r="W267" s="89"/>
    </row>
    <row r="268" spans="1:23" x14ac:dyDescent="0.2">
      <c r="A268" s="90" t="s">
        <v>332</v>
      </c>
      <c r="B268" s="90">
        <v>12</v>
      </c>
      <c r="C268" s="232">
        <v>5000</v>
      </c>
      <c r="D268" s="91">
        <f t="shared" ref="D268:J268" si="74">$B$268*$C$268*D124</f>
        <v>60000</v>
      </c>
      <c r="E268" s="91">
        <f t="shared" si="74"/>
        <v>63000</v>
      </c>
      <c r="F268" s="91">
        <f t="shared" si="74"/>
        <v>66150</v>
      </c>
      <c r="G268" s="91">
        <f t="shared" si="74"/>
        <v>69457.500000000015</v>
      </c>
      <c r="H268" s="91">
        <f t="shared" si="74"/>
        <v>72930.375000000015</v>
      </c>
      <c r="I268" s="91">
        <f t="shared" si="74"/>
        <v>76576.893750000017</v>
      </c>
      <c r="J268" s="91">
        <f t="shared" si="74"/>
        <v>80405.738437500026</v>
      </c>
      <c r="K268" s="89"/>
      <c r="L268" s="89"/>
      <c r="M268" s="89"/>
      <c r="N268" s="89"/>
      <c r="O268" s="89"/>
      <c r="P268" s="89"/>
      <c r="Q268" s="89"/>
      <c r="R268" s="89"/>
      <c r="S268" s="89"/>
      <c r="T268" s="89"/>
      <c r="U268" s="89"/>
      <c r="V268" s="89"/>
      <c r="W268" s="89"/>
    </row>
    <row r="269" spans="1:23" x14ac:dyDescent="0.2">
      <c r="A269" s="90"/>
      <c r="B269" s="90"/>
      <c r="C269" s="232"/>
      <c r="D269" s="91"/>
      <c r="E269" s="91"/>
      <c r="F269" s="91"/>
      <c r="G269" s="91"/>
      <c r="H269" s="91"/>
      <c r="I269" s="91"/>
      <c r="J269" s="91"/>
      <c r="K269" s="89"/>
      <c r="L269" s="89"/>
      <c r="M269" s="89"/>
      <c r="N269" s="89"/>
      <c r="O269" s="89"/>
      <c r="P269" s="89"/>
      <c r="Q269" s="89"/>
      <c r="R269" s="89"/>
      <c r="S269" s="89"/>
      <c r="T269" s="89"/>
      <c r="U269" s="89"/>
      <c r="V269" s="89"/>
      <c r="W269" s="89"/>
    </row>
    <row r="270" spans="1:23" x14ac:dyDescent="0.2">
      <c r="A270" s="90"/>
      <c r="B270" s="90"/>
      <c r="C270" s="232"/>
      <c r="D270" s="91"/>
      <c r="E270" s="91"/>
      <c r="F270" s="91"/>
      <c r="G270" s="91"/>
      <c r="H270" s="91"/>
      <c r="I270" s="91"/>
      <c r="J270" s="91"/>
      <c r="K270" s="89"/>
      <c r="L270" s="89"/>
      <c r="M270" s="89"/>
      <c r="N270" s="89"/>
      <c r="O270" s="89"/>
      <c r="P270" s="89"/>
      <c r="Q270" s="89"/>
      <c r="R270" s="89"/>
      <c r="S270" s="89"/>
      <c r="T270" s="89"/>
      <c r="U270" s="89"/>
      <c r="V270" s="89"/>
      <c r="W270" s="89"/>
    </row>
    <row r="271" spans="1:23" x14ac:dyDescent="0.2">
      <c r="A271" s="90"/>
      <c r="B271" s="90"/>
      <c r="C271" s="232"/>
      <c r="D271" s="91"/>
      <c r="E271" s="91"/>
      <c r="F271" s="91"/>
      <c r="G271" s="91"/>
      <c r="H271" s="91"/>
      <c r="I271" s="91"/>
      <c r="J271" s="91"/>
      <c r="K271" s="89"/>
      <c r="L271" s="89"/>
      <c r="M271" s="89"/>
      <c r="N271" s="89"/>
      <c r="O271" s="89"/>
      <c r="P271" s="89"/>
      <c r="Q271" s="89"/>
      <c r="R271" s="89"/>
      <c r="S271" s="89"/>
      <c r="T271" s="89"/>
      <c r="U271" s="89"/>
      <c r="V271" s="89"/>
      <c r="W271" s="89"/>
    </row>
    <row r="272" spans="1:23" x14ac:dyDescent="0.2">
      <c r="A272" s="90"/>
      <c r="B272" s="90"/>
      <c r="C272" s="232"/>
      <c r="D272" s="91"/>
      <c r="E272" s="91"/>
      <c r="F272" s="91"/>
      <c r="G272" s="91"/>
      <c r="H272" s="91"/>
      <c r="I272" s="91"/>
      <c r="J272" s="91"/>
      <c r="K272" s="89"/>
      <c r="L272" s="89"/>
      <c r="M272" s="89"/>
      <c r="N272" s="89"/>
      <c r="O272" s="89"/>
      <c r="P272" s="89"/>
      <c r="Q272" s="89"/>
      <c r="R272" s="89"/>
      <c r="S272" s="89"/>
      <c r="T272" s="89"/>
      <c r="U272" s="89"/>
      <c r="V272" s="89"/>
      <c r="W272" s="89"/>
    </row>
    <row r="273" spans="1:23" x14ac:dyDescent="0.2">
      <c r="A273" s="92" t="s">
        <v>329</v>
      </c>
      <c r="B273" s="92"/>
      <c r="C273" s="110"/>
      <c r="D273" s="110">
        <f>SUM(D265:D272)</f>
        <v>480000</v>
      </c>
      <c r="E273" s="110">
        <f t="shared" ref="E273:J273" si="75">SUM(E265:E272)</f>
        <v>504000</v>
      </c>
      <c r="F273" s="110">
        <f t="shared" si="75"/>
        <v>529200</v>
      </c>
      <c r="G273" s="110">
        <f t="shared" si="75"/>
        <v>555660.00000000012</v>
      </c>
      <c r="H273" s="110">
        <f t="shared" si="75"/>
        <v>583443.00000000012</v>
      </c>
      <c r="I273" s="110">
        <f t="shared" si="75"/>
        <v>612615.15000000014</v>
      </c>
      <c r="J273" s="110">
        <f t="shared" si="75"/>
        <v>643245.9075000002</v>
      </c>
      <c r="K273" s="89"/>
      <c r="L273" s="89"/>
      <c r="M273" s="89"/>
      <c r="N273" s="89"/>
      <c r="O273" s="89"/>
      <c r="P273" s="89"/>
      <c r="Q273" s="89"/>
      <c r="R273" s="89"/>
      <c r="S273" s="89"/>
      <c r="T273" s="89"/>
      <c r="U273" s="89"/>
      <c r="V273" s="89"/>
      <c r="W273" s="89"/>
    </row>
    <row r="274" spans="1:23" x14ac:dyDescent="0.2">
      <c r="A274" s="190" t="s">
        <v>135</v>
      </c>
      <c r="B274" s="190"/>
      <c r="C274" s="203"/>
      <c r="D274" s="110">
        <f t="shared" ref="D274:J274" si="76">D262+D273</f>
        <v>265253577.18240002</v>
      </c>
      <c r="E274" s="110">
        <f t="shared" si="76"/>
        <v>315886551.29271007</v>
      </c>
      <c r="F274" s="110">
        <f t="shared" si="76"/>
        <v>368513700.13883251</v>
      </c>
      <c r="G274" s="110">
        <f t="shared" si="76"/>
        <v>425613847.49133545</v>
      </c>
      <c r="H274" s="110">
        <f t="shared" si="76"/>
        <v>487502725.32874179</v>
      </c>
      <c r="I274" s="110">
        <f t="shared" si="76"/>
        <v>554516456.33116031</v>
      </c>
      <c r="J274" s="110">
        <f t="shared" si="76"/>
        <v>627012803.62049901</v>
      </c>
      <c r="K274" s="89"/>
      <c r="L274" s="89"/>
      <c r="M274" s="89"/>
      <c r="N274" s="89"/>
      <c r="O274" s="89"/>
      <c r="P274" s="89"/>
      <c r="Q274" s="89"/>
      <c r="R274" s="89"/>
      <c r="S274" s="89"/>
      <c r="T274" s="89"/>
      <c r="U274" s="89"/>
      <c r="V274" s="89"/>
      <c r="W274" s="89"/>
    </row>
    <row r="275" spans="1:23" x14ac:dyDescent="0.2">
      <c r="A275" s="90"/>
      <c r="B275" s="90"/>
      <c r="C275" s="91"/>
      <c r="D275" s="91"/>
      <c r="E275" s="91"/>
      <c r="F275" s="91"/>
      <c r="G275" s="91"/>
      <c r="H275" s="91"/>
      <c r="I275" s="91"/>
      <c r="J275" s="91"/>
      <c r="K275" s="89"/>
      <c r="L275" s="89"/>
      <c r="M275" s="89"/>
      <c r="N275" s="89"/>
      <c r="O275" s="89"/>
      <c r="P275" s="89"/>
      <c r="Q275" s="89"/>
      <c r="R275" s="89"/>
      <c r="S275" s="89"/>
      <c r="T275" s="89"/>
      <c r="U275" s="89"/>
      <c r="V275" s="89"/>
      <c r="W275" s="89"/>
    </row>
    <row r="276" spans="1:23" x14ac:dyDescent="0.2">
      <c r="A276" s="190" t="s">
        <v>7</v>
      </c>
      <c r="B276" s="190"/>
      <c r="C276" s="203"/>
      <c r="D276" s="110">
        <f t="shared" ref="D276:J276" si="77">D191-D274</f>
        <v>818595.56309998035</v>
      </c>
      <c r="E276" s="110">
        <f t="shared" si="77"/>
        <v>1221909.6526368856</v>
      </c>
      <c r="F276" s="110">
        <f t="shared" si="77"/>
        <v>1487160.4395473599</v>
      </c>
      <c r="G276" s="110">
        <f t="shared" si="77"/>
        <v>1775881.5310173631</v>
      </c>
      <c r="H276" s="110">
        <f t="shared" si="77"/>
        <v>2089756.8305352926</v>
      </c>
      <c r="I276" s="110">
        <f t="shared" si="77"/>
        <v>2430579.9561777115</v>
      </c>
      <c r="J276" s="110">
        <f t="shared" si="77"/>
        <v>2800261.0023077726</v>
      </c>
      <c r="K276" s="89"/>
      <c r="L276" s="89"/>
      <c r="M276" s="89"/>
      <c r="N276" s="89"/>
      <c r="O276" s="89"/>
      <c r="P276" s="89"/>
      <c r="Q276" s="89"/>
      <c r="R276" s="89"/>
      <c r="S276" s="89"/>
      <c r="T276" s="89"/>
      <c r="U276" s="89"/>
      <c r="V276" s="89"/>
      <c r="W276" s="89"/>
    </row>
    <row r="277" spans="1:23" x14ac:dyDescent="0.2">
      <c r="A277" s="111"/>
      <c r="B277" s="111"/>
      <c r="C277" s="111"/>
      <c r="D277" s="89"/>
      <c r="E277" s="89"/>
      <c r="F277" s="89"/>
      <c r="G277" s="89"/>
      <c r="H277" s="89"/>
      <c r="I277" s="89"/>
      <c r="J277" s="89"/>
      <c r="K277" s="89"/>
      <c r="L277" s="89"/>
      <c r="M277" s="89"/>
      <c r="N277" s="89"/>
      <c r="O277" s="89"/>
      <c r="P277" s="89"/>
      <c r="Q277" s="89"/>
      <c r="R277" s="89"/>
      <c r="S277" s="89"/>
      <c r="T277" s="89"/>
      <c r="U277" s="89"/>
      <c r="V277" s="89"/>
      <c r="W277" s="89"/>
    </row>
    <row r="278" spans="1:23" x14ac:dyDescent="0.2">
      <c r="A278" s="89"/>
      <c r="B278" s="89"/>
      <c r="C278" s="89"/>
      <c r="D278" s="89"/>
      <c r="E278" s="89"/>
      <c r="F278" s="89"/>
      <c r="G278" s="89"/>
      <c r="H278" s="89"/>
      <c r="I278" s="89"/>
      <c r="J278" s="89"/>
      <c r="K278" s="89"/>
      <c r="L278" s="89"/>
      <c r="M278" s="89"/>
      <c r="N278" s="89"/>
      <c r="O278" s="89"/>
      <c r="P278" s="89"/>
      <c r="Q278" s="89"/>
      <c r="R278" s="89"/>
      <c r="S278" s="89"/>
      <c r="T278" s="89"/>
      <c r="U278" s="89"/>
      <c r="V278" s="89"/>
      <c r="W278" s="89"/>
    </row>
    <row r="279" spans="1:23" x14ac:dyDescent="0.2">
      <c r="A279" s="452" t="s">
        <v>422</v>
      </c>
      <c r="B279" s="452"/>
      <c r="C279" s="452"/>
      <c r="D279" s="452"/>
      <c r="E279" s="452"/>
      <c r="F279" s="452"/>
      <c r="G279" s="452"/>
      <c r="H279" s="452"/>
      <c r="I279" s="452"/>
      <c r="J279" s="452"/>
    </row>
    <row r="281" spans="1:23" x14ac:dyDescent="0.2">
      <c r="A281" t="s">
        <v>538</v>
      </c>
    </row>
    <row r="282" spans="1:23" x14ac:dyDescent="0.2">
      <c r="A282">
        <v>1</v>
      </c>
      <c r="B282" t="s">
        <v>547</v>
      </c>
    </row>
    <row r="283" spans="1:23" x14ac:dyDescent="0.2">
      <c r="A283">
        <v>2</v>
      </c>
      <c r="B283" t="s">
        <v>548</v>
      </c>
    </row>
    <row r="284" spans="1:23" x14ac:dyDescent="0.2">
      <c r="A284">
        <v>3</v>
      </c>
      <c r="B284" s="89" t="s">
        <v>599</v>
      </c>
    </row>
  </sheetData>
  <mergeCells count="3">
    <mergeCell ref="A122:J122"/>
    <mergeCell ref="A2:I2"/>
    <mergeCell ref="A279:J279"/>
  </mergeCells>
  <pageMargins left="0.7" right="0.7" top="0.75" bottom="0.75" header="0.3" footer="0.3"/>
  <pageSetup scale="44" orientation="portrait" r:id="rId1"/>
  <rowBreaks count="3" manualBreakCount="3">
    <brk id="84" max="9" man="1"/>
    <brk id="174" max="9" man="1"/>
    <brk id="277" max="9" man="1"/>
  </rowBreaks>
  <colBreaks count="1" manualBreakCount="1">
    <brk id="10" max="1048575"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3:J197"/>
  <sheetViews>
    <sheetView view="pageBreakPreview" topLeftCell="A150" zoomScale="80" zoomScaleSheetLayoutView="80" workbookViewId="0">
      <selection activeCell="U48" sqref="U48"/>
    </sheetView>
  </sheetViews>
  <sheetFormatPr defaultRowHeight="15" x14ac:dyDescent="0.2"/>
  <cols>
    <col min="1" max="1" width="41.69921875" bestFit="1" customWidth="1"/>
    <col min="2" max="2" width="11.56640625" bestFit="1" customWidth="1"/>
    <col min="3" max="3" width="12.5078125" bestFit="1" customWidth="1"/>
    <col min="4" max="4" width="15.19921875" customWidth="1"/>
    <col min="5" max="8" width="17.21875" customWidth="1"/>
    <col min="9" max="10" width="16.8125" bestFit="1" customWidth="1"/>
  </cols>
  <sheetData>
    <row r="3" spans="1:8" ht="18" x14ac:dyDescent="0.2">
      <c r="A3" s="451" t="s">
        <v>594</v>
      </c>
      <c r="B3" s="451"/>
      <c r="C3" s="451"/>
      <c r="D3" s="451"/>
      <c r="E3" s="451"/>
      <c r="F3" s="451"/>
      <c r="G3" s="451"/>
      <c r="H3" s="451"/>
    </row>
    <row r="4" spans="1:8" ht="18" x14ac:dyDescent="0.2">
      <c r="A4" s="451" t="s">
        <v>595</v>
      </c>
      <c r="B4" s="451"/>
      <c r="C4" s="451"/>
      <c r="D4" s="451"/>
      <c r="E4" s="451"/>
      <c r="F4" s="451"/>
      <c r="G4" s="451"/>
      <c r="H4" s="451"/>
    </row>
    <row r="5" spans="1:8" x14ac:dyDescent="0.2">
      <c r="A5" s="89" t="s">
        <v>162</v>
      </c>
      <c r="B5" s="225">
        <v>1</v>
      </c>
      <c r="C5" s="89" t="s">
        <v>469</v>
      </c>
      <c r="D5" s="89"/>
      <c r="E5" s="89"/>
      <c r="F5" s="89"/>
      <c r="G5" s="89"/>
      <c r="H5" s="89"/>
    </row>
    <row r="6" spans="1:8" x14ac:dyDescent="0.2">
      <c r="A6" s="89" t="s">
        <v>163</v>
      </c>
      <c r="B6" s="251">
        <v>1</v>
      </c>
      <c r="C6" s="89"/>
      <c r="D6" s="89"/>
      <c r="E6" s="89"/>
      <c r="F6" s="89"/>
      <c r="G6" s="89"/>
      <c r="H6" s="89"/>
    </row>
    <row r="7" spans="1:8" x14ac:dyDescent="0.2">
      <c r="A7" s="89"/>
      <c r="B7" s="251"/>
      <c r="C7" s="89"/>
      <c r="D7" s="89"/>
      <c r="E7" s="89"/>
      <c r="F7" s="89"/>
      <c r="G7" s="89"/>
      <c r="H7" s="89"/>
    </row>
    <row r="8" spans="1:8" x14ac:dyDescent="0.2">
      <c r="A8" s="89"/>
      <c r="B8" s="251"/>
      <c r="C8" s="89"/>
      <c r="D8" s="89"/>
      <c r="E8" s="89"/>
      <c r="F8" s="89"/>
      <c r="G8" s="89"/>
      <c r="H8" s="89"/>
    </row>
    <row r="9" spans="1:8" x14ac:dyDescent="0.2">
      <c r="A9" s="89"/>
      <c r="B9" s="89"/>
      <c r="C9" s="89"/>
      <c r="D9" s="89"/>
      <c r="E9" s="89"/>
      <c r="F9" s="89"/>
      <c r="G9" s="89"/>
      <c r="H9" s="89"/>
    </row>
    <row r="10" spans="1:8" x14ac:dyDescent="0.2">
      <c r="A10" s="89"/>
      <c r="B10" s="89"/>
      <c r="C10" s="89"/>
      <c r="D10" s="89"/>
      <c r="E10" s="89"/>
      <c r="F10" s="89"/>
      <c r="G10" s="89"/>
      <c r="H10" s="89"/>
    </row>
    <row r="11" spans="1:8" x14ac:dyDescent="0.2">
      <c r="A11" s="77" t="s">
        <v>0</v>
      </c>
      <c r="B11" s="78" t="s">
        <v>2</v>
      </c>
      <c r="C11" s="78" t="s">
        <v>3</v>
      </c>
      <c r="D11" s="78" t="s">
        <v>4</v>
      </c>
      <c r="E11" s="78" t="s">
        <v>5</v>
      </c>
      <c r="F11" s="78" t="s">
        <v>6</v>
      </c>
      <c r="G11" s="78" t="s">
        <v>170</v>
      </c>
      <c r="H11" s="78" t="s">
        <v>169</v>
      </c>
    </row>
    <row r="12" spans="1:8" x14ac:dyDescent="0.2">
      <c r="A12" s="90" t="s">
        <v>171</v>
      </c>
      <c r="B12" s="281">
        <f t="shared" ref="B12:H12" si="0">B39/($B$5*$B$6)</f>
        <v>0</v>
      </c>
      <c r="C12" s="281">
        <f t="shared" si="0"/>
        <v>0</v>
      </c>
      <c r="D12" s="281">
        <f t="shared" si="0"/>
        <v>0</v>
      </c>
      <c r="E12" s="281">
        <f t="shared" si="0"/>
        <v>0</v>
      </c>
      <c r="F12" s="281">
        <f t="shared" si="0"/>
        <v>0</v>
      </c>
      <c r="G12" s="281">
        <f t="shared" si="0"/>
        <v>0</v>
      </c>
      <c r="H12" s="281">
        <f t="shared" si="0"/>
        <v>0</v>
      </c>
    </row>
    <row r="13" spans="1:8" x14ac:dyDescent="0.2">
      <c r="A13" s="90" t="str">
        <f>'11.F&amp;V Crop Production details'!A74</f>
        <v>Onion</v>
      </c>
      <c r="B13" s="90">
        <f>'11.F&amp;V Crop Production details'!B74</f>
        <v>0</v>
      </c>
      <c r="C13" s="90">
        <f>'11.F&amp;V Crop Production details'!C74</f>
        <v>0</v>
      </c>
      <c r="D13" s="90">
        <f>'11.F&amp;V Crop Production details'!D74</f>
        <v>0</v>
      </c>
      <c r="E13" s="90">
        <f>'11.F&amp;V Crop Production details'!E74</f>
        <v>0</v>
      </c>
      <c r="F13" s="90">
        <f>'11.F&amp;V Crop Production details'!F74</f>
        <v>0</v>
      </c>
      <c r="G13" s="90">
        <f>'11.F&amp;V Crop Production details'!G74</f>
        <v>0</v>
      </c>
      <c r="H13" s="90">
        <f>'11.F&amp;V Crop Production details'!H74</f>
        <v>0</v>
      </c>
    </row>
    <row r="14" spans="1:8" x14ac:dyDescent="0.2">
      <c r="A14" s="90" t="str">
        <f>'11.F&amp;V Crop Production details'!A75</f>
        <v>Tomato</v>
      </c>
      <c r="B14" s="90">
        <f>'11.F&amp;V Crop Production details'!B75</f>
        <v>0</v>
      </c>
      <c r="C14" s="90">
        <f>'11.F&amp;V Crop Production details'!C75</f>
        <v>0</v>
      </c>
      <c r="D14" s="90">
        <f>'11.F&amp;V Crop Production details'!D75</f>
        <v>0</v>
      </c>
      <c r="E14" s="90">
        <f>'11.F&amp;V Crop Production details'!E75</f>
        <v>0</v>
      </c>
      <c r="F14" s="90">
        <f>'11.F&amp;V Crop Production details'!F75</f>
        <v>0</v>
      </c>
      <c r="G14" s="90">
        <f>'11.F&amp;V Crop Production details'!G75</f>
        <v>0</v>
      </c>
      <c r="H14" s="90">
        <f>'11.F&amp;V Crop Production details'!H75</f>
        <v>0</v>
      </c>
    </row>
    <row r="15" spans="1:8" x14ac:dyDescent="0.2">
      <c r="A15" s="90" t="str">
        <f>'11.F&amp;V Crop Production details'!A76</f>
        <v>Okra</v>
      </c>
      <c r="B15" s="90">
        <f>'11.F&amp;V Crop Production details'!B76</f>
        <v>0</v>
      </c>
      <c r="C15" s="90">
        <f>'11.F&amp;V Crop Production details'!C76</f>
        <v>0</v>
      </c>
      <c r="D15" s="90">
        <f>'11.F&amp;V Crop Production details'!D76</f>
        <v>0</v>
      </c>
      <c r="E15" s="90">
        <f>'11.F&amp;V Crop Production details'!E76</f>
        <v>0</v>
      </c>
      <c r="F15" s="90">
        <f>'11.F&amp;V Crop Production details'!F76</f>
        <v>0</v>
      </c>
      <c r="G15" s="90">
        <f>'11.F&amp;V Crop Production details'!G76</f>
        <v>0</v>
      </c>
      <c r="H15" s="90">
        <f>'11.F&amp;V Crop Production details'!H76</f>
        <v>0</v>
      </c>
    </row>
    <row r="16" spans="1:8" x14ac:dyDescent="0.2">
      <c r="A16" s="90" t="str">
        <f>'11.F&amp;V Crop Production details'!A77</f>
        <v>Chilli</v>
      </c>
      <c r="B16" s="90">
        <f>'11.F&amp;V Crop Production details'!B77</f>
        <v>0</v>
      </c>
      <c r="C16" s="90">
        <f>'11.F&amp;V Crop Production details'!C77</f>
        <v>0</v>
      </c>
      <c r="D16" s="90">
        <f>'11.F&amp;V Crop Production details'!D77</f>
        <v>0</v>
      </c>
      <c r="E16" s="90">
        <f>'11.F&amp;V Crop Production details'!E77</f>
        <v>0</v>
      </c>
      <c r="F16" s="90">
        <f>'11.F&amp;V Crop Production details'!F77</f>
        <v>0</v>
      </c>
      <c r="G16" s="90">
        <f>'11.F&amp;V Crop Production details'!G77</f>
        <v>0</v>
      </c>
      <c r="H16" s="90">
        <f>'11.F&amp;V Crop Production details'!H77</f>
        <v>0</v>
      </c>
    </row>
    <row r="17" spans="1:8" x14ac:dyDescent="0.2">
      <c r="A17" s="90" t="str">
        <f>'11.F&amp;V Crop Production details'!A78</f>
        <v>Potato</v>
      </c>
      <c r="B17" s="90">
        <f>'11.F&amp;V Crop Production details'!B78</f>
        <v>0</v>
      </c>
      <c r="C17" s="90">
        <f>'11.F&amp;V Crop Production details'!C78</f>
        <v>0</v>
      </c>
      <c r="D17" s="90">
        <f>'11.F&amp;V Crop Production details'!D78</f>
        <v>0</v>
      </c>
      <c r="E17" s="90">
        <f>'11.F&amp;V Crop Production details'!E78</f>
        <v>0</v>
      </c>
      <c r="F17" s="90">
        <f>'11.F&amp;V Crop Production details'!F78</f>
        <v>0</v>
      </c>
      <c r="G17" s="90">
        <f>'11.F&amp;V Crop Production details'!G78</f>
        <v>0</v>
      </c>
      <c r="H17" s="90">
        <f>'11.F&amp;V Crop Production details'!H78</f>
        <v>0</v>
      </c>
    </row>
    <row r="18" spans="1:8" x14ac:dyDescent="0.2">
      <c r="A18" s="90">
        <f>'11.F&amp;V Crop Production details'!A79</f>
        <v>0</v>
      </c>
      <c r="B18" s="90">
        <f>'11.F&amp;V Crop Production details'!B79</f>
        <v>0</v>
      </c>
      <c r="C18" s="90">
        <f>'11.F&amp;V Crop Production details'!C79</f>
        <v>0</v>
      </c>
      <c r="D18" s="90">
        <f>'11.F&amp;V Crop Production details'!D79</f>
        <v>0</v>
      </c>
      <c r="E18" s="90">
        <f>'11.F&amp;V Crop Production details'!E79</f>
        <v>0</v>
      </c>
      <c r="F18" s="90">
        <f>'11.F&amp;V Crop Production details'!F79</f>
        <v>0</v>
      </c>
      <c r="G18" s="90">
        <f>'11.F&amp;V Crop Production details'!G79</f>
        <v>0</v>
      </c>
      <c r="H18" s="90">
        <f>'11.F&amp;V Crop Production details'!H79</f>
        <v>0</v>
      </c>
    </row>
    <row r="19" spans="1:8" x14ac:dyDescent="0.2">
      <c r="A19" s="90">
        <f>'11.F&amp;V Crop Production details'!A80</f>
        <v>0</v>
      </c>
      <c r="B19" s="90">
        <f>'11.F&amp;V Crop Production details'!B80</f>
        <v>0</v>
      </c>
      <c r="C19" s="90">
        <f>'11.F&amp;V Crop Production details'!C80</f>
        <v>0</v>
      </c>
      <c r="D19" s="90">
        <f>'11.F&amp;V Crop Production details'!D80</f>
        <v>0</v>
      </c>
      <c r="E19" s="90">
        <f>'11.F&amp;V Crop Production details'!E80</f>
        <v>0</v>
      </c>
      <c r="F19" s="90">
        <f>'11.F&amp;V Crop Production details'!F80</f>
        <v>0</v>
      </c>
      <c r="G19" s="90">
        <f>'11.F&amp;V Crop Production details'!G80</f>
        <v>0</v>
      </c>
      <c r="H19" s="90">
        <f>'11.F&amp;V Crop Production details'!H80</f>
        <v>0</v>
      </c>
    </row>
    <row r="20" spans="1:8" x14ac:dyDescent="0.2">
      <c r="A20" s="90">
        <f>'11.F&amp;V Crop Production details'!A81</f>
        <v>0</v>
      </c>
      <c r="B20" s="90">
        <f>'11.F&amp;V Crop Production details'!B81</f>
        <v>0</v>
      </c>
      <c r="C20" s="90">
        <f>'11.F&amp;V Crop Production details'!C81</f>
        <v>0</v>
      </c>
      <c r="D20" s="90">
        <f>'11.F&amp;V Crop Production details'!D81</f>
        <v>0</v>
      </c>
      <c r="E20" s="90">
        <f>'11.F&amp;V Crop Production details'!E81</f>
        <v>0</v>
      </c>
      <c r="F20" s="90">
        <f>'11.F&amp;V Crop Production details'!F81</f>
        <v>0</v>
      </c>
      <c r="G20" s="90">
        <f>'11.F&amp;V Crop Production details'!G81</f>
        <v>0</v>
      </c>
      <c r="H20" s="90">
        <f>'11.F&amp;V Crop Production details'!H81</f>
        <v>0</v>
      </c>
    </row>
    <row r="21" spans="1:8" x14ac:dyDescent="0.2">
      <c r="A21" s="90">
        <f>'11.F&amp;V Crop Production details'!A82</f>
        <v>0</v>
      </c>
      <c r="B21" s="90">
        <f>'11.F&amp;V Crop Production details'!B82</f>
        <v>0</v>
      </c>
      <c r="C21" s="90">
        <f>'11.F&amp;V Crop Production details'!C82</f>
        <v>0</v>
      </c>
      <c r="D21" s="90">
        <f>'11.F&amp;V Crop Production details'!D82</f>
        <v>0</v>
      </c>
      <c r="E21" s="90">
        <f>'11.F&amp;V Crop Production details'!E82</f>
        <v>0</v>
      </c>
      <c r="F21" s="90">
        <f>'11.F&amp;V Crop Production details'!F82</f>
        <v>0</v>
      </c>
      <c r="G21" s="90">
        <f>'11.F&amp;V Crop Production details'!G82</f>
        <v>0</v>
      </c>
      <c r="H21" s="90">
        <f>'11.F&amp;V Crop Production details'!H82</f>
        <v>0</v>
      </c>
    </row>
    <row r="22" spans="1:8" x14ac:dyDescent="0.2">
      <c r="A22" s="90" t="str">
        <f>'11.F&amp;V Crop Production details'!A83</f>
        <v>Onion</v>
      </c>
      <c r="B22" s="90">
        <f>'11.F&amp;V Crop Production details'!B83</f>
        <v>0</v>
      </c>
      <c r="C22" s="90">
        <f>'11.F&amp;V Crop Production details'!C83</f>
        <v>0</v>
      </c>
      <c r="D22" s="90">
        <f>'11.F&amp;V Crop Production details'!D83</f>
        <v>0</v>
      </c>
      <c r="E22" s="90">
        <f>'11.F&amp;V Crop Production details'!E83</f>
        <v>0</v>
      </c>
      <c r="F22" s="90">
        <f>'11.F&amp;V Crop Production details'!F83</f>
        <v>0</v>
      </c>
      <c r="G22" s="90">
        <f>'11.F&amp;V Crop Production details'!G83</f>
        <v>0</v>
      </c>
      <c r="H22" s="90">
        <f>'11.F&amp;V Crop Production details'!H83</f>
        <v>0</v>
      </c>
    </row>
    <row r="23" spans="1:8" x14ac:dyDescent="0.2">
      <c r="A23" s="90" t="str">
        <f>'11.F&amp;V Crop Production details'!A84</f>
        <v>Tomato</v>
      </c>
      <c r="B23" s="90">
        <f>'11.F&amp;V Crop Production details'!B84</f>
        <v>0</v>
      </c>
      <c r="C23" s="90">
        <f>'11.F&amp;V Crop Production details'!C84</f>
        <v>0</v>
      </c>
      <c r="D23" s="90">
        <f>'11.F&amp;V Crop Production details'!D84</f>
        <v>0</v>
      </c>
      <c r="E23" s="90">
        <f>'11.F&amp;V Crop Production details'!E84</f>
        <v>0</v>
      </c>
      <c r="F23" s="90">
        <f>'11.F&amp;V Crop Production details'!F84</f>
        <v>0</v>
      </c>
      <c r="G23" s="90">
        <f>'11.F&amp;V Crop Production details'!G84</f>
        <v>0</v>
      </c>
      <c r="H23" s="90">
        <f>'11.F&amp;V Crop Production details'!H84</f>
        <v>0</v>
      </c>
    </row>
    <row r="24" spans="1:8" x14ac:dyDescent="0.2">
      <c r="A24" s="90" t="str">
        <f>'11.F&amp;V Crop Production details'!A85</f>
        <v>Okra</v>
      </c>
      <c r="B24" s="90">
        <f>'11.F&amp;V Crop Production details'!B85</f>
        <v>0</v>
      </c>
      <c r="C24" s="90">
        <f>'11.F&amp;V Crop Production details'!C85</f>
        <v>0</v>
      </c>
      <c r="D24" s="90">
        <f>'11.F&amp;V Crop Production details'!D85</f>
        <v>0</v>
      </c>
      <c r="E24" s="90">
        <f>'11.F&amp;V Crop Production details'!E85</f>
        <v>0</v>
      </c>
      <c r="F24" s="90">
        <f>'11.F&amp;V Crop Production details'!F85</f>
        <v>0</v>
      </c>
      <c r="G24" s="90">
        <f>'11.F&amp;V Crop Production details'!G85</f>
        <v>0</v>
      </c>
      <c r="H24" s="90">
        <f>'11.F&amp;V Crop Production details'!H85</f>
        <v>0</v>
      </c>
    </row>
    <row r="25" spans="1:8" x14ac:dyDescent="0.2">
      <c r="A25" s="90" t="str">
        <f>'11.F&amp;V Crop Production details'!A86</f>
        <v>Chilli</v>
      </c>
      <c r="B25" s="90">
        <f>'11.F&amp;V Crop Production details'!B86</f>
        <v>0</v>
      </c>
      <c r="C25" s="90">
        <f>'11.F&amp;V Crop Production details'!C86</f>
        <v>0</v>
      </c>
      <c r="D25" s="90">
        <f>'11.F&amp;V Crop Production details'!D86</f>
        <v>0</v>
      </c>
      <c r="E25" s="90">
        <f>'11.F&amp;V Crop Production details'!E86</f>
        <v>0</v>
      </c>
      <c r="F25" s="90">
        <f>'11.F&amp;V Crop Production details'!F86</f>
        <v>0</v>
      </c>
      <c r="G25" s="90">
        <f>'11.F&amp;V Crop Production details'!G86</f>
        <v>0</v>
      </c>
      <c r="H25" s="90">
        <f>'11.F&amp;V Crop Production details'!H86</f>
        <v>0</v>
      </c>
    </row>
    <row r="26" spans="1:8" x14ac:dyDescent="0.2">
      <c r="A26" s="90" t="str">
        <f>'11.F&amp;V Crop Production details'!A87</f>
        <v>Brinjal</v>
      </c>
      <c r="B26" s="90">
        <f>'11.F&amp;V Crop Production details'!B87</f>
        <v>0</v>
      </c>
      <c r="C26" s="90">
        <f>'11.F&amp;V Crop Production details'!C87</f>
        <v>0</v>
      </c>
      <c r="D26" s="90">
        <f>'11.F&amp;V Crop Production details'!D87</f>
        <v>0</v>
      </c>
      <c r="E26" s="90">
        <f>'11.F&amp;V Crop Production details'!E87</f>
        <v>0</v>
      </c>
      <c r="F26" s="90">
        <f>'11.F&amp;V Crop Production details'!F87</f>
        <v>0</v>
      </c>
      <c r="G26" s="90">
        <f>'11.F&amp;V Crop Production details'!G87</f>
        <v>0</v>
      </c>
      <c r="H26" s="90">
        <f>'11.F&amp;V Crop Production details'!H87</f>
        <v>0</v>
      </c>
    </row>
    <row r="27" spans="1:8" x14ac:dyDescent="0.2">
      <c r="A27" s="90">
        <f>'11.F&amp;V Crop Production details'!A88</f>
        <v>0</v>
      </c>
      <c r="B27" s="90">
        <f>'11.F&amp;V Crop Production details'!B88</f>
        <v>0</v>
      </c>
      <c r="C27" s="90">
        <f>'11.F&amp;V Crop Production details'!C88</f>
        <v>0</v>
      </c>
      <c r="D27" s="90">
        <f>'11.F&amp;V Crop Production details'!D88</f>
        <v>0</v>
      </c>
      <c r="E27" s="90">
        <f>'11.F&amp;V Crop Production details'!E88</f>
        <v>0</v>
      </c>
      <c r="F27" s="90">
        <f>'11.F&amp;V Crop Production details'!F88</f>
        <v>0</v>
      </c>
      <c r="G27" s="90">
        <f>'11.F&amp;V Crop Production details'!G88</f>
        <v>0</v>
      </c>
      <c r="H27" s="90">
        <f>'11.F&amp;V Crop Production details'!H88</f>
        <v>0</v>
      </c>
    </row>
    <row r="28" spans="1:8" x14ac:dyDescent="0.2">
      <c r="A28" s="90">
        <f>'11.F&amp;V Crop Production details'!A89</f>
        <v>0</v>
      </c>
      <c r="B28" s="90">
        <f>'11.F&amp;V Crop Production details'!B89</f>
        <v>0</v>
      </c>
      <c r="C28" s="90">
        <f>'11.F&amp;V Crop Production details'!C89</f>
        <v>0</v>
      </c>
      <c r="D28" s="90">
        <f>'11.F&amp;V Crop Production details'!D89</f>
        <v>0</v>
      </c>
      <c r="E28" s="90">
        <f>'11.F&amp;V Crop Production details'!E89</f>
        <v>0</v>
      </c>
      <c r="F28" s="90">
        <f>'11.F&amp;V Crop Production details'!F89</f>
        <v>0</v>
      </c>
      <c r="G28" s="90">
        <f>'11.F&amp;V Crop Production details'!G89</f>
        <v>0</v>
      </c>
      <c r="H28" s="90">
        <f>'11.F&amp;V Crop Production details'!H89</f>
        <v>0</v>
      </c>
    </row>
    <row r="29" spans="1:8" x14ac:dyDescent="0.2">
      <c r="A29" s="90">
        <f>'11.F&amp;V Crop Production details'!A90</f>
        <v>0</v>
      </c>
      <c r="B29" s="90">
        <f>'11.F&amp;V Crop Production details'!B90</f>
        <v>0</v>
      </c>
      <c r="C29" s="90">
        <f>'11.F&amp;V Crop Production details'!C90</f>
        <v>0</v>
      </c>
      <c r="D29" s="90">
        <f>'11.F&amp;V Crop Production details'!D90</f>
        <v>0</v>
      </c>
      <c r="E29" s="90">
        <f>'11.F&amp;V Crop Production details'!E90</f>
        <v>0</v>
      </c>
      <c r="F29" s="90">
        <f>'11.F&amp;V Crop Production details'!F90</f>
        <v>0</v>
      </c>
      <c r="G29" s="90">
        <f>'11.F&amp;V Crop Production details'!G90</f>
        <v>0</v>
      </c>
      <c r="H29" s="90">
        <f>'11.F&amp;V Crop Production details'!H90</f>
        <v>0</v>
      </c>
    </row>
    <row r="30" spans="1:8" x14ac:dyDescent="0.2">
      <c r="A30" s="90">
        <f>'11.F&amp;V Crop Production details'!A91</f>
        <v>0</v>
      </c>
      <c r="B30" s="90">
        <f>'11.F&amp;V Crop Production details'!B91</f>
        <v>0</v>
      </c>
      <c r="C30" s="90">
        <f>'11.F&amp;V Crop Production details'!C91</f>
        <v>0</v>
      </c>
      <c r="D30" s="90">
        <f>'11.F&amp;V Crop Production details'!D91</f>
        <v>0</v>
      </c>
      <c r="E30" s="90">
        <f>'11.F&amp;V Crop Production details'!E91</f>
        <v>0</v>
      </c>
      <c r="F30" s="90">
        <f>'11.F&amp;V Crop Production details'!F91</f>
        <v>0</v>
      </c>
      <c r="G30" s="90">
        <f>'11.F&amp;V Crop Production details'!G91</f>
        <v>0</v>
      </c>
      <c r="H30" s="90">
        <f>'11.F&amp;V Crop Production details'!H91</f>
        <v>0</v>
      </c>
    </row>
    <row r="31" spans="1:8" x14ac:dyDescent="0.2">
      <c r="A31" s="90">
        <f>'11.F&amp;V Crop Production details'!A92</f>
        <v>0</v>
      </c>
      <c r="B31" s="90">
        <f>'11.F&amp;V Crop Production details'!B92</f>
        <v>0</v>
      </c>
      <c r="C31" s="90">
        <f>'11.F&amp;V Crop Production details'!C92</f>
        <v>0</v>
      </c>
      <c r="D31" s="90">
        <f>'11.F&amp;V Crop Production details'!D92</f>
        <v>0</v>
      </c>
      <c r="E31" s="90">
        <f>'11.F&amp;V Crop Production details'!E92</f>
        <v>0</v>
      </c>
      <c r="F31" s="90">
        <f>'11.F&amp;V Crop Production details'!F92</f>
        <v>0</v>
      </c>
      <c r="G31" s="90">
        <f>'11.F&amp;V Crop Production details'!G92</f>
        <v>0</v>
      </c>
      <c r="H31" s="90">
        <f>'11.F&amp;V Crop Production details'!H92</f>
        <v>0</v>
      </c>
    </row>
    <row r="32" spans="1:8" x14ac:dyDescent="0.2">
      <c r="A32" s="90">
        <f>'11.F&amp;V Crop Production details'!A93</f>
        <v>0</v>
      </c>
      <c r="B32" s="90">
        <f>'11.F&amp;V Crop Production details'!B93</f>
        <v>0</v>
      </c>
      <c r="C32" s="90">
        <f>'11.F&amp;V Crop Production details'!C93</f>
        <v>0</v>
      </c>
      <c r="D32" s="90">
        <f>'11.F&amp;V Crop Production details'!D93</f>
        <v>0</v>
      </c>
      <c r="E32" s="90">
        <f>'11.F&amp;V Crop Production details'!E93</f>
        <v>0</v>
      </c>
      <c r="F32" s="90">
        <f>'11.F&amp;V Crop Production details'!F93</f>
        <v>0</v>
      </c>
      <c r="G32" s="90">
        <f>'11.F&amp;V Crop Production details'!G93</f>
        <v>0</v>
      </c>
      <c r="H32" s="90">
        <f>'11.F&amp;V Crop Production details'!H93</f>
        <v>0</v>
      </c>
    </row>
    <row r="33" spans="1:8" x14ac:dyDescent="0.2">
      <c r="A33" s="90">
        <f>'11.F&amp;V Crop Production details'!A94</f>
        <v>0</v>
      </c>
      <c r="B33" s="90">
        <f>'11.F&amp;V Crop Production details'!B94</f>
        <v>0</v>
      </c>
      <c r="C33" s="90">
        <f>'11.F&amp;V Crop Production details'!C94</f>
        <v>0</v>
      </c>
      <c r="D33" s="90">
        <f>'11.F&amp;V Crop Production details'!D94</f>
        <v>0</v>
      </c>
      <c r="E33" s="90">
        <f>'11.F&amp;V Crop Production details'!E94</f>
        <v>0</v>
      </c>
      <c r="F33" s="90">
        <f>'11.F&amp;V Crop Production details'!F94</f>
        <v>0</v>
      </c>
      <c r="G33" s="90">
        <f>'11.F&amp;V Crop Production details'!G94</f>
        <v>0</v>
      </c>
      <c r="H33" s="90">
        <f>'11.F&amp;V Crop Production details'!H94</f>
        <v>0</v>
      </c>
    </row>
    <row r="34" spans="1:8" x14ac:dyDescent="0.2">
      <c r="A34" s="90" t="str">
        <f>'11.F&amp;V Crop Production details'!A95</f>
        <v>Pomegranate</v>
      </c>
      <c r="B34" s="90">
        <f>'11.F&amp;V Crop Production details'!B95</f>
        <v>0</v>
      </c>
      <c r="C34" s="90">
        <f>'11.F&amp;V Crop Production details'!C95</f>
        <v>0</v>
      </c>
      <c r="D34" s="90">
        <f>'11.F&amp;V Crop Production details'!D95</f>
        <v>0</v>
      </c>
      <c r="E34" s="90">
        <f>'11.F&amp;V Crop Production details'!E95</f>
        <v>0</v>
      </c>
      <c r="F34" s="90">
        <f>'11.F&amp;V Crop Production details'!F95</f>
        <v>0</v>
      </c>
      <c r="G34" s="90">
        <f>'11.F&amp;V Crop Production details'!G95</f>
        <v>0</v>
      </c>
      <c r="H34" s="90">
        <f>'11.F&amp;V Crop Production details'!H95</f>
        <v>0</v>
      </c>
    </row>
    <row r="35" spans="1:8" x14ac:dyDescent="0.2">
      <c r="A35" s="90" t="str">
        <f>'11.F&amp;V Crop Production details'!A96</f>
        <v>Custard Apple</v>
      </c>
      <c r="B35" s="90">
        <f>'11.F&amp;V Crop Production details'!B96</f>
        <v>0</v>
      </c>
      <c r="C35" s="90">
        <f>'11.F&amp;V Crop Production details'!C96</f>
        <v>0</v>
      </c>
      <c r="D35" s="90">
        <f>'11.F&amp;V Crop Production details'!D96</f>
        <v>0</v>
      </c>
      <c r="E35" s="90">
        <f>'11.F&amp;V Crop Production details'!E96</f>
        <v>0</v>
      </c>
      <c r="F35" s="90">
        <f>'11.F&amp;V Crop Production details'!F96</f>
        <v>0</v>
      </c>
      <c r="G35" s="90">
        <f>'11.F&amp;V Crop Production details'!G96</f>
        <v>0</v>
      </c>
      <c r="H35" s="90">
        <f>'11.F&amp;V Crop Production details'!H96</f>
        <v>0</v>
      </c>
    </row>
    <row r="36" spans="1:8" x14ac:dyDescent="0.2">
      <c r="A36" s="90" t="str">
        <f>'11.F&amp;V Crop Production details'!A97</f>
        <v>Guava</v>
      </c>
      <c r="B36" s="90">
        <f>'11.F&amp;V Crop Production details'!B97</f>
        <v>0</v>
      </c>
      <c r="C36" s="90">
        <f>'11.F&amp;V Crop Production details'!C97</f>
        <v>0</v>
      </c>
      <c r="D36" s="90">
        <f>'11.F&amp;V Crop Production details'!D97</f>
        <v>0</v>
      </c>
      <c r="E36" s="90">
        <f>'11.F&amp;V Crop Production details'!E97</f>
        <v>0</v>
      </c>
      <c r="F36" s="90">
        <f>'11.F&amp;V Crop Production details'!F97</f>
        <v>0</v>
      </c>
      <c r="G36" s="90">
        <f>'11.F&amp;V Crop Production details'!G97</f>
        <v>0</v>
      </c>
      <c r="H36" s="90">
        <f>'11.F&amp;V Crop Production details'!H97</f>
        <v>0</v>
      </c>
    </row>
    <row r="37" spans="1:8" x14ac:dyDescent="0.2">
      <c r="A37" s="90" t="str">
        <f>'11.F&amp;V Crop Production details'!A98</f>
        <v>Citrus</v>
      </c>
      <c r="B37" s="90">
        <f>'11.F&amp;V Crop Production details'!B98</f>
        <v>0</v>
      </c>
      <c r="C37" s="90">
        <f>'11.F&amp;V Crop Production details'!C98</f>
        <v>0</v>
      </c>
      <c r="D37" s="90">
        <f>'11.F&amp;V Crop Production details'!D98</f>
        <v>0</v>
      </c>
      <c r="E37" s="90">
        <f>'11.F&amp;V Crop Production details'!E98</f>
        <v>0</v>
      </c>
      <c r="F37" s="90">
        <f>'11.F&amp;V Crop Production details'!F98</f>
        <v>0</v>
      </c>
      <c r="G37" s="90">
        <f>'11.F&amp;V Crop Production details'!G98</f>
        <v>0</v>
      </c>
      <c r="H37" s="90">
        <f>'11.F&amp;V Crop Production details'!H98</f>
        <v>0</v>
      </c>
    </row>
    <row r="38" spans="1:8" x14ac:dyDescent="0.2">
      <c r="A38" s="90"/>
      <c r="B38" s="90"/>
      <c r="C38" s="90"/>
      <c r="D38" s="90"/>
      <c r="E38" s="90"/>
      <c r="F38" s="90"/>
      <c r="G38" s="90"/>
      <c r="H38" s="90"/>
    </row>
    <row r="39" spans="1:8" x14ac:dyDescent="0.2">
      <c r="A39" s="90" t="s">
        <v>460</v>
      </c>
      <c r="B39" s="90">
        <f>SUM(B13:B37)</f>
        <v>0</v>
      </c>
      <c r="C39" s="90">
        <f t="shared" ref="C39:H39" si="1">SUM(C13:C37)</f>
        <v>0</v>
      </c>
      <c r="D39" s="90">
        <f t="shared" si="1"/>
        <v>0</v>
      </c>
      <c r="E39" s="90">
        <f t="shared" si="1"/>
        <v>0</v>
      </c>
      <c r="F39" s="90">
        <f t="shared" si="1"/>
        <v>0</v>
      </c>
      <c r="G39" s="90">
        <f t="shared" si="1"/>
        <v>0</v>
      </c>
      <c r="H39" s="90">
        <f t="shared" si="1"/>
        <v>0</v>
      </c>
    </row>
    <row r="40" spans="1:8" x14ac:dyDescent="0.2">
      <c r="A40" s="291" t="s">
        <v>166</v>
      </c>
      <c r="B40" s="250">
        <v>0</v>
      </c>
      <c r="C40" s="250">
        <f>B40</f>
        <v>0</v>
      </c>
      <c r="D40" s="250">
        <f t="shared" ref="D40:H40" si="2">C40</f>
        <v>0</v>
      </c>
      <c r="E40" s="250">
        <f t="shared" si="2"/>
        <v>0</v>
      </c>
      <c r="F40" s="250">
        <f t="shared" si="2"/>
        <v>0</v>
      </c>
      <c r="G40" s="250">
        <f t="shared" si="2"/>
        <v>0</v>
      </c>
      <c r="H40" s="250">
        <f t="shared" si="2"/>
        <v>0</v>
      </c>
    </row>
    <row r="41" spans="1:8" x14ac:dyDescent="0.2">
      <c r="A41" s="94" t="s">
        <v>470</v>
      </c>
      <c r="B41" s="292">
        <f>1-B40</f>
        <v>1</v>
      </c>
      <c r="C41" s="292">
        <f t="shared" ref="C41:H41" si="3">1-C40</f>
        <v>1</v>
      </c>
      <c r="D41" s="292">
        <f t="shared" si="3"/>
        <v>1</v>
      </c>
      <c r="E41" s="292">
        <f t="shared" si="3"/>
        <v>1</v>
      </c>
      <c r="F41" s="292">
        <f t="shared" si="3"/>
        <v>1</v>
      </c>
      <c r="G41" s="292">
        <f t="shared" si="3"/>
        <v>1</v>
      </c>
      <c r="H41" s="292">
        <f t="shared" si="3"/>
        <v>1</v>
      </c>
    </row>
    <row r="42" spans="1:8" x14ac:dyDescent="0.2">
      <c r="A42" s="92" t="s">
        <v>166</v>
      </c>
      <c r="B42" s="236">
        <f>B39*B40</f>
        <v>0</v>
      </c>
      <c r="C42" s="236">
        <f t="shared" ref="C42:H42" si="4">C39*C40</f>
        <v>0</v>
      </c>
      <c r="D42" s="236">
        <f t="shared" si="4"/>
        <v>0</v>
      </c>
      <c r="E42" s="236">
        <f t="shared" si="4"/>
        <v>0</v>
      </c>
      <c r="F42" s="236">
        <f t="shared" si="4"/>
        <v>0</v>
      </c>
      <c r="G42" s="236">
        <f t="shared" si="4"/>
        <v>0</v>
      </c>
      <c r="H42" s="236">
        <f t="shared" si="4"/>
        <v>0</v>
      </c>
    </row>
    <row r="43" spans="1:8" x14ac:dyDescent="0.2">
      <c r="A43" s="92" t="s">
        <v>167</v>
      </c>
      <c r="B43" s="110"/>
      <c r="C43" s="110"/>
      <c r="D43" s="110"/>
      <c r="E43" s="110"/>
      <c r="F43" s="110"/>
      <c r="G43" s="110"/>
      <c r="H43" s="110"/>
    </row>
    <row r="44" spans="1:8" x14ac:dyDescent="0.2">
      <c r="A44" s="90" t="str">
        <f t="shared" ref="A44:A61" si="5">A13</f>
        <v>Onion</v>
      </c>
      <c r="B44" s="91">
        <f t="shared" ref="B44:B61" si="6">B13*$B$41</f>
        <v>0</v>
      </c>
      <c r="C44" s="91">
        <f t="shared" ref="C44:C61" si="7">C13*$C$41</f>
        <v>0</v>
      </c>
      <c r="D44" s="91">
        <f t="shared" ref="D44:D61" si="8">D13*$D$41</f>
        <v>0</v>
      </c>
      <c r="E44" s="91">
        <f t="shared" ref="E44:E61" si="9">E13*$E$41</f>
        <v>0</v>
      </c>
      <c r="F44" s="91">
        <f t="shared" ref="F44:F61" si="10">F13*$F$41</f>
        <v>0</v>
      </c>
      <c r="G44" s="91">
        <f t="shared" ref="G44:G61" si="11">G13*$G$41</f>
        <v>0</v>
      </c>
      <c r="H44" s="91">
        <f t="shared" ref="H44:H61" si="12">H13*$H$41</f>
        <v>0</v>
      </c>
    </row>
    <row r="45" spans="1:8" x14ac:dyDescent="0.2">
      <c r="A45" s="90" t="str">
        <f t="shared" si="5"/>
        <v>Tomato</v>
      </c>
      <c r="B45" s="91">
        <f t="shared" si="6"/>
        <v>0</v>
      </c>
      <c r="C45" s="91">
        <f t="shared" si="7"/>
        <v>0</v>
      </c>
      <c r="D45" s="91">
        <f t="shared" si="8"/>
        <v>0</v>
      </c>
      <c r="E45" s="91">
        <f t="shared" si="9"/>
        <v>0</v>
      </c>
      <c r="F45" s="91">
        <f t="shared" si="10"/>
        <v>0</v>
      </c>
      <c r="G45" s="91">
        <f t="shared" si="11"/>
        <v>0</v>
      </c>
      <c r="H45" s="91">
        <f t="shared" si="12"/>
        <v>0</v>
      </c>
    </row>
    <row r="46" spans="1:8" x14ac:dyDescent="0.2">
      <c r="A46" s="90" t="str">
        <f t="shared" si="5"/>
        <v>Okra</v>
      </c>
      <c r="B46" s="91">
        <f t="shared" si="6"/>
        <v>0</v>
      </c>
      <c r="C46" s="91">
        <f t="shared" si="7"/>
        <v>0</v>
      </c>
      <c r="D46" s="91">
        <f t="shared" si="8"/>
        <v>0</v>
      </c>
      <c r="E46" s="91">
        <f t="shared" si="9"/>
        <v>0</v>
      </c>
      <c r="F46" s="91">
        <f t="shared" si="10"/>
        <v>0</v>
      </c>
      <c r="G46" s="91">
        <f t="shared" si="11"/>
        <v>0</v>
      </c>
      <c r="H46" s="91">
        <f t="shared" si="12"/>
        <v>0</v>
      </c>
    </row>
    <row r="47" spans="1:8" x14ac:dyDescent="0.2">
      <c r="A47" s="90" t="str">
        <f t="shared" si="5"/>
        <v>Chilli</v>
      </c>
      <c r="B47" s="91">
        <f t="shared" si="6"/>
        <v>0</v>
      </c>
      <c r="C47" s="91">
        <f t="shared" si="7"/>
        <v>0</v>
      </c>
      <c r="D47" s="91">
        <f t="shared" si="8"/>
        <v>0</v>
      </c>
      <c r="E47" s="91">
        <f t="shared" si="9"/>
        <v>0</v>
      </c>
      <c r="F47" s="91">
        <f t="shared" si="10"/>
        <v>0</v>
      </c>
      <c r="G47" s="91">
        <f t="shared" si="11"/>
        <v>0</v>
      </c>
      <c r="H47" s="91">
        <f t="shared" si="12"/>
        <v>0</v>
      </c>
    </row>
    <row r="48" spans="1:8" x14ac:dyDescent="0.2">
      <c r="A48" s="90" t="str">
        <f t="shared" si="5"/>
        <v>Potato</v>
      </c>
      <c r="B48" s="91">
        <f t="shared" si="6"/>
        <v>0</v>
      </c>
      <c r="C48" s="91">
        <f t="shared" si="7"/>
        <v>0</v>
      </c>
      <c r="D48" s="91">
        <f t="shared" si="8"/>
        <v>0</v>
      </c>
      <c r="E48" s="91">
        <f t="shared" si="9"/>
        <v>0</v>
      </c>
      <c r="F48" s="91">
        <f t="shared" si="10"/>
        <v>0</v>
      </c>
      <c r="G48" s="91">
        <f t="shared" si="11"/>
        <v>0</v>
      </c>
      <c r="H48" s="91">
        <f t="shared" si="12"/>
        <v>0</v>
      </c>
    </row>
    <row r="49" spans="1:8" x14ac:dyDescent="0.2">
      <c r="A49" s="90">
        <f t="shared" si="5"/>
        <v>0</v>
      </c>
      <c r="B49" s="91">
        <f t="shared" si="6"/>
        <v>0</v>
      </c>
      <c r="C49" s="91">
        <f t="shared" si="7"/>
        <v>0</v>
      </c>
      <c r="D49" s="91">
        <f t="shared" si="8"/>
        <v>0</v>
      </c>
      <c r="E49" s="91">
        <f t="shared" si="9"/>
        <v>0</v>
      </c>
      <c r="F49" s="91">
        <f t="shared" si="10"/>
        <v>0</v>
      </c>
      <c r="G49" s="91">
        <f t="shared" si="11"/>
        <v>0</v>
      </c>
      <c r="H49" s="91">
        <f t="shared" si="12"/>
        <v>0</v>
      </c>
    </row>
    <row r="50" spans="1:8" x14ac:dyDescent="0.2">
      <c r="A50" s="90">
        <f t="shared" si="5"/>
        <v>0</v>
      </c>
      <c r="B50" s="91">
        <f t="shared" si="6"/>
        <v>0</v>
      </c>
      <c r="C50" s="91">
        <f t="shared" si="7"/>
        <v>0</v>
      </c>
      <c r="D50" s="91">
        <f t="shared" si="8"/>
        <v>0</v>
      </c>
      <c r="E50" s="91">
        <f t="shared" si="9"/>
        <v>0</v>
      </c>
      <c r="F50" s="91">
        <f t="shared" si="10"/>
        <v>0</v>
      </c>
      <c r="G50" s="91">
        <f t="shared" si="11"/>
        <v>0</v>
      </c>
      <c r="H50" s="91">
        <f t="shared" si="12"/>
        <v>0</v>
      </c>
    </row>
    <row r="51" spans="1:8" x14ac:dyDescent="0.2">
      <c r="A51" s="90">
        <f t="shared" si="5"/>
        <v>0</v>
      </c>
      <c r="B51" s="91">
        <f t="shared" si="6"/>
        <v>0</v>
      </c>
      <c r="C51" s="91">
        <f t="shared" si="7"/>
        <v>0</v>
      </c>
      <c r="D51" s="91">
        <f t="shared" si="8"/>
        <v>0</v>
      </c>
      <c r="E51" s="91">
        <f t="shared" si="9"/>
        <v>0</v>
      </c>
      <c r="F51" s="91">
        <f t="shared" si="10"/>
        <v>0</v>
      </c>
      <c r="G51" s="91">
        <f t="shared" si="11"/>
        <v>0</v>
      </c>
      <c r="H51" s="91">
        <f t="shared" si="12"/>
        <v>0</v>
      </c>
    </row>
    <row r="52" spans="1:8" x14ac:dyDescent="0.2">
      <c r="A52" s="90">
        <f t="shared" si="5"/>
        <v>0</v>
      </c>
      <c r="B52" s="91">
        <f t="shared" si="6"/>
        <v>0</v>
      </c>
      <c r="C52" s="91">
        <f t="shared" si="7"/>
        <v>0</v>
      </c>
      <c r="D52" s="91">
        <f t="shared" si="8"/>
        <v>0</v>
      </c>
      <c r="E52" s="91">
        <f t="shared" si="9"/>
        <v>0</v>
      </c>
      <c r="F52" s="91">
        <f t="shared" si="10"/>
        <v>0</v>
      </c>
      <c r="G52" s="91">
        <f t="shared" si="11"/>
        <v>0</v>
      </c>
      <c r="H52" s="91">
        <f t="shared" si="12"/>
        <v>0</v>
      </c>
    </row>
    <row r="53" spans="1:8" x14ac:dyDescent="0.2">
      <c r="A53" s="90" t="str">
        <f t="shared" si="5"/>
        <v>Onion</v>
      </c>
      <c r="B53" s="91">
        <f t="shared" si="6"/>
        <v>0</v>
      </c>
      <c r="C53" s="91">
        <f t="shared" si="7"/>
        <v>0</v>
      </c>
      <c r="D53" s="91">
        <f t="shared" si="8"/>
        <v>0</v>
      </c>
      <c r="E53" s="91">
        <f t="shared" si="9"/>
        <v>0</v>
      </c>
      <c r="F53" s="91">
        <f t="shared" si="10"/>
        <v>0</v>
      </c>
      <c r="G53" s="91">
        <f t="shared" si="11"/>
        <v>0</v>
      </c>
      <c r="H53" s="91">
        <f t="shared" si="12"/>
        <v>0</v>
      </c>
    </row>
    <row r="54" spans="1:8" x14ac:dyDescent="0.2">
      <c r="A54" s="90" t="str">
        <f t="shared" si="5"/>
        <v>Tomato</v>
      </c>
      <c r="B54" s="91">
        <f t="shared" si="6"/>
        <v>0</v>
      </c>
      <c r="C54" s="91">
        <f t="shared" si="7"/>
        <v>0</v>
      </c>
      <c r="D54" s="91">
        <f t="shared" si="8"/>
        <v>0</v>
      </c>
      <c r="E54" s="91">
        <f t="shared" si="9"/>
        <v>0</v>
      </c>
      <c r="F54" s="91">
        <f t="shared" si="10"/>
        <v>0</v>
      </c>
      <c r="G54" s="91">
        <f t="shared" si="11"/>
        <v>0</v>
      </c>
      <c r="H54" s="91">
        <f t="shared" si="12"/>
        <v>0</v>
      </c>
    </row>
    <row r="55" spans="1:8" x14ac:dyDescent="0.2">
      <c r="A55" s="90" t="str">
        <f t="shared" si="5"/>
        <v>Okra</v>
      </c>
      <c r="B55" s="91">
        <f t="shared" si="6"/>
        <v>0</v>
      </c>
      <c r="C55" s="91">
        <f t="shared" si="7"/>
        <v>0</v>
      </c>
      <c r="D55" s="91">
        <f t="shared" si="8"/>
        <v>0</v>
      </c>
      <c r="E55" s="91">
        <f t="shared" si="9"/>
        <v>0</v>
      </c>
      <c r="F55" s="91">
        <f t="shared" si="10"/>
        <v>0</v>
      </c>
      <c r="G55" s="91">
        <f t="shared" si="11"/>
        <v>0</v>
      </c>
      <c r="H55" s="91">
        <f t="shared" si="12"/>
        <v>0</v>
      </c>
    </row>
    <row r="56" spans="1:8" x14ac:dyDescent="0.2">
      <c r="A56" s="90" t="str">
        <f t="shared" si="5"/>
        <v>Chilli</v>
      </c>
      <c r="B56" s="91">
        <f t="shared" si="6"/>
        <v>0</v>
      </c>
      <c r="C56" s="91">
        <f t="shared" si="7"/>
        <v>0</v>
      </c>
      <c r="D56" s="91">
        <f t="shared" si="8"/>
        <v>0</v>
      </c>
      <c r="E56" s="91">
        <f t="shared" si="9"/>
        <v>0</v>
      </c>
      <c r="F56" s="91">
        <f t="shared" si="10"/>
        <v>0</v>
      </c>
      <c r="G56" s="91">
        <f t="shared" si="11"/>
        <v>0</v>
      </c>
      <c r="H56" s="91">
        <f t="shared" si="12"/>
        <v>0</v>
      </c>
    </row>
    <row r="57" spans="1:8" x14ac:dyDescent="0.2">
      <c r="A57" s="90" t="str">
        <f t="shared" si="5"/>
        <v>Brinjal</v>
      </c>
      <c r="B57" s="91">
        <f t="shared" si="6"/>
        <v>0</v>
      </c>
      <c r="C57" s="91">
        <f t="shared" si="7"/>
        <v>0</v>
      </c>
      <c r="D57" s="91">
        <f t="shared" si="8"/>
        <v>0</v>
      </c>
      <c r="E57" s="91">
        <f t="shared" si="9"/>
        <v>0</v>
      </c>
      <c r="F57" s="91">
        <f t="shared" si="10"/>
        <v>0</v>
      </c>
      <c r="G57" s="91">
        <f t="shared" si="11"/>
        <v>0</v>
      </c>
      <c r="H57" s="91">
        <f t="shared" si="12"/>
        <v>0</v>
      </c>
    </row>
    <row r="58" spans="1:8" x14ac:dyDescent="0.2">
      <c r="A58" s="90">
        <f t="shared" si="5"/>
        <v>0</v>
      </c>
      <c r="B58" s="91">
        <f t="shared" si="6"/>
        <v>0</v>
      </c>
      <c r="C58" s="91">
        <f t="shared" si="7"/>
        <v>0</v>
      </c>
      <c r="D58" s="91">
        <f t="shared" si="8"/>
        <v>0</v>
      </c>
      <c r="E58" s="91">
        <f t="shared" si="9"/>
        <v>0</v>
      </c>
      <c r="F58" s="91">
        <f t="shared" si="10"/>
        <v>0</v>
      </c>
      <c r="G58" s="91">
        <f t="shared" si="11"/>
        <v>0</v>
      </c>
      <c r="H58" s="91">
        <f t="shared" si="12"/>
        <v>0</v>
      </c>
    </row>
    <row r="59" spans="1:8" x14ac:dyDescent="0.2">
      <c r="A59" s="90">
        <f t="shared" si="5"/>
        <v>0</v>
      </c>
      <c r="B59" s="91">
        <f t="shared" si="6"/>
        <v>0</v>
      </c>
      <c r="C59" s="91">
        <f t="shared" si="7"/>
        <v>0</v>
      </c>
      <c r="D59" s="91">
        <f t="shared" si="8"/>
        <v>0</v>
      </c>
      <c r="E59" s="91">
        <f t="shared" si="9"/>
        <v>0</v>
      </c>
      <c r="F59" s="91">
        <f t="shared" si="10"/>
        <v>0</v>
      </c>
      <c r="G59" s="91">
        <f t="shared" si="11"/>
        <v>0</v>
      </c>
      <c r="H59" s="91">
        <f t="shared" si="12"/>
        <v>0</v>
      </c>
    </row>
    <row r="60" spans="1:8" x14ac:dyDescent="0.2">
      <c r="A60" s="90">
        <f t="shared" si="5"/>
        <v>0</v>
      </c>
      <c r="B60" s="91">
        <f t="shared" si="6"/>
        <v>0</v>
      </c>
      <c r="C60" s="91">
        <f t="shared" si="7"/>
        <v>0</v>
      </c>
      <c r="D60" s="91">
        <f t="shared" si="8"/>
        <v>0</v>
      </c>
      <c r="E60" s="91">
        <f t="shared" si="9"/>
        <v>0</v>
      </c>
      <c r="F60" s="91">
        <f t="shared" si="10"/>
        <v>0</v>
      </c>
      <c r="G60" s="91">
        <f t="shared" si="11"/>
        <v>0</v>
      </c>
      <c r="H60" s="91">
        <f t="shared" si="12"/>
        <v>0</v>
      </c>
    </row>
    <row r="61" spans="1:8" x14ac:dyDescent="0.2">
      <c r="A61" s="90">
        <f t="shared" si="5"/>
        <v>0</v>
      </c>
      <c r="B61" s="91">
        <f t="shared" si="6"/>
        <v>0</v>
      </c>
      <c r="C61" s="91">
        <f t="shared" si="7"/>
        <v>0</v>
      </c>
      <c r="D61" s="91">
        <f t="shared" si="8"/>
        <v>0</v>
      </c>
      <c r="E61" s="91">
        <f t="shared" si="9"/>
        <v>0</v>
      </c>
      <c r="F61" s="91">
        <f t="shared" si="10"/>
        <v>0</v>
      </c>
      <c r="G61" s="91">
        <f t="shared" si="11"/>
        <v>0</v>
      </c>
      <c r="H61" s="91">
        <f t="shared" si="12"/>
        <v>0</v>
      </c>
    </row>
    <row r="62" spans="1:8" x14ac:dyDescent="0.2">
      <c r="A62" s="90" t="str">
        <f t="shared" ref="A62" si="13">A34</f>
        <v>Pomegranate</v>
      </c>
      <c r="B62" s="91">
        <f>B34*$B$41</f>
        <v>0</v>
      </c>
      <c r="C62" s="91">
        <f t="shared" ref="C62:H62" si="14">C34*$B$41</f>
        <v>0</v>
      </c>
      <c r="D62" s="91">
        <f t="shared" si="14"/>
        <v>0</v>
      </c>
      <c r="E62" s="91">
        <f t="shared" si="14"/>
        <v>0</v>
      </c>
      <c r="F62" s="91">
        <f t="shared" si="14"/>
        <v>0</v>
      </c>
      <c r="G62" s="91">
        <f t="shared" si="14"/>
        <v>0</v>
      </c>
      <c r="H62" s="91">
        <f t="shared" si="14"/>
        <v>0</v>
      </c>
    </row>
    <row r="63" spans="1:8" x14ac:dyDescent="0.2">
      <c r="A63" s="90" t="str">
        <f>A35</f>
        <v>Custard Apple</v>
      </c>
      <c r="B63" s="91">
        <f t="shared" ref="B63:H63" si="15">B35*$B$41</f>
        <v>0</v>
      </c>
      <c r="C63" s="91">
        <f t="shared" si="15"/>
        <v>0</v>
      </c>
      <c r="D63" s="91">
        <f t="shared" si="15"/>
        <v>0</v>
      </c>
      <c r="E63" s="91">
        <f t="shared" si="15"/>
        <v>0</v>
      </c>
      <c r="F63" s="91">
        <f t="shared" si="15"/>
        <v>0</v>
      </c>
      <c r="G63" s="91">
        <f t="shared" si="15"/>
        <v>0</v>
      </c>
      <c r="H63" s="91">
        <f t="shared" si="15"/>
        <v>0</v>
      </c>
    </row>
    <row r="64" spans="1:8" x14ac:dyDescent="0.2">
      <c r="A64" s="90" t="str">
        <f>A36</f>
        <v>Guava</v>
      </c>
      <c r="B64" s="91">
        <f t="shared" ref="B64:H65" si="16">B36*$B$41</f>
        <v>0</v>
      </c>
      <c r="C64" s="91">
        <f t="shared" si="16"/>
        <v>0</v>
      </c>
      <c r="D64" s="91">
        <f t="shared" si="16"/>
        <v>0</v>
      </c>
      <c r="E64" s="91">
        <f t="shared" si="16"/>
        <v>0</v>
      </c>
      <c r="F64" s="91">
        <f t="shared" si="16"/>
        <v>0</v>
      </c>
      <c r="G64" s="91">
        <f t="shared" si="16"/>
        <v>0</v>
      </c>
      <c r="H64" s="91">
        <f t="shared" si="16"/>
        <v>0</v>
      </c>
    </row>
    <row r="65" spans="1:8" x14ac:dyDescent="0.2">
      <c r="A65" s="90" t="str">
        <f>A37</f>
        <v>Citrus</v>
      </c>
      <c r="B65" s="91">
        <f t="shared" si="16"/>
        <v>0</v>
      </c>
      <c r="C65" s="91">
        <f t="shared" si="16"/>
        <v>0</v>
      </c>
      <c r="D65" s="91">
        <f t="shared" si="16"/>
        <v>0</v>
      </c>
      <c r="E65" s="91">
        <f t="shared" si="16"/>
        <v>0</v>
      </c>
      <c r="F65" s="91">
        <f t="shared" si="16"/>
        <v>0</v>
      </c>
      <c r="G65" s="91">
        <f t="shared" si="16"/>
        <v>0</v>
      </c>
      <c r="H65" s="91">
        <f t="shared" si="16"/>
        <v>0</v>
      </c>
    </row>
    <row r="66" spans="1:8" x14ac:dyDescent="0.2">
      <c r="A66" s="92" t="s">
        <v>287</v>
      </c>
      <c r="B66" s="90"/>
      <c r="C66" s="90"/>
      <c r="D66" s="90"/>
      <c r="E66" s="90"/>
      <c r="F66" s="90"/>
      <c r="G66" s="90"/>
      <c r="H66" s="90"/>
    </row>
    <row r="67" spans="1:8" x14ac:dyDescent="0.2">
      <c r="A67" s="90" t="str">
        <f>A44</f>
        <v>Onion</v>
      </c>
      <c r="B67" s="185"/>
      <c r="C67" s="185"/>
      <c r="D67" s="185"/>
      <c r="E67" s="185"/>
      <c r="F67" s="185"/>
      <c r="G67" s="185"/>
      <c r="H67" s="185"/>
    </row>
    <row r="68" spans="1:8" x14ac:dyDescent="0.2">
      <c r="A68" s="90"/>
      <c r="B68" s="185"/>
      <c r="C68" s="185"/>
      <c r="D68" s="185"/>
      <c r="E68" s="185"/>
      <c r="F68" s="185"/>
      <c r="G68" s="185"/>
      <c r="H68" s="185"/>
    </row>
    <row r="69" spans="1:8" x14ac:dyDescent="0.2">
      <c r="A69" s="90"/>
      <c r="B69" s="185"/>
      <c r="C69" s="185"/>
      <c r="D69" s="185"/>
      <c r="E69" s="185"/>
      <c r="F69" s="185"/>
      <c r="G69" s="185"/>
      <c r="H69" s="185"/>
    </row>
    <row r="70" spans="1:8" x14ac:dyDescent="0.2">
      <c r="A70" s="90"/>
      <c r="B70" s="185"/>
      <c r="C70" s="185"/>
      <c r="D70" s="185"/>
      <c r="E70" s="185"/>
      <c r="F70" s="185"/>
      <c r="G70" s="185"/>
      <c r="H70" s="185"/>
    </row>
    <row r="71" spans="1:8" x14ac:dyDescent="0.2">
      <c r="A71" s="90" t="str">
        <f>A45</f>
        <v>Tomato</v>
      </c>
      <c r="B71" s="91"/>
      <c r="C71" s="91"/>
      <c r="D71" s="91"/>
      <c r="E71" s="91"/>
      <c r="F71" s="91"/>
      <c r="G71" s="91"/>
      <c r="H71" s="91"/>
    </row>
    <row r="72" spans="1:8" x14ac:dyDescent="0.2">
      <c r="A72" s="90"/>
      <c r="B72" s="91"/>
      <c r="C72" s="91"/>
      <c r="D72" s="91"/>
      <c r="E72" s="91"/>
      <c r="F72" s="91"/>
      <c r="G72" s="91"/>
      <c r="H72" s="91"/>
    </row>
    <row r="73" spans="1:8" x14ac:dyDescent="0.2">
      <c r="A73" s="90"/>
      <c r="B73" s="91"/>
      <c r="C73" s="91"/>
      <c r="D73" s="91"/>
      <c r="E73" s="91"/>
      <c r="F73" s="91"/>
      <c r="G73" s="91"/>
      <c r="H73" s="91"/>
    </row>
    <row r="74" spans="1:8" x14ac:dyDescent="0.2">
      <c r="A74" s="90"/>
      <c r="B74" s="91"/>
      <c r="C74" s="91"/>
      <c r="D74" s="91"/>
      <c r="E74" s="91"/>
      <c r="F74" s="91"/>
      <c r="G74" s="91"/>
      <c r="H74" s="91"/>
    </row>
    <row r="75" spans="1:8" x14ac:dyDescent="0.2">
      <c r="A75" s="90" t="str">
        <f>A46</f>
        <v>Okra</v>
      </c>
      <c r="B75" s="91"/>
      <c r="C75" s="91"/>
      <c r="D75" s="91"/>
      <c r="E75" s="91"/>
      <c r="F75" s="91"/>
      <c r="G75" s="91"/>
      <c r="H75" s="91"/>
    </row>
    <row r="76" spans="1:8" x14ac:dyDescent="0.2">
      <c r="A76" s="90"/>
      <c r="B76" s="91"/>
      <c r="C76" s="91"/>
      <c r="D76" s="91"/>
      <c r="E76" s="91"/>
      <c r="F76" s="91"/>
      <c r="G76" s="91"/>
      <c r="H76" s="91"/>
    </row>
    <row r="77" spans="1:8" x14ac:dyDescent="0.2">
      <c r="A77" s="90"/>
      <c r="B77" s="91"/>
      <c r="C77" s="91"/>
      <c r="D77" s="91"/>
      <c r="E77" s="91"/>
      <c r="F77" s="91"/>
      <c r="G77" s="91"/>
      <c r="H77" s="91"/>
    </row>
    <row r="78" spans="1:8" x14ac:dyDescent="0.2">
      <c r="A78" s="90"/>
      <c r="B78" s="91"/>
      <c r="C78" s="91"/>
      <c r="D78" s="91"/>
      <c r="E78" s="91"/>
      <c r="F78" s="91"/>
      <c r="G78" s="91"/>
      <c r="H78" s="91"/>
    </row>
    <row r="79" spans="1:8" x14ac:dyDescent="0.2">
      <c r="A79" s="90" t="str">
        <f>A47</f>
        <v>Chilli</v>
      </c>
      <c r="B79" s="91"/>
      <c r="C79" s="91"/>
      <c r="D79" s="91"/>
      <c r="E79" s="91"/>
      <c r="F79" s="91"/>
      <c r="G79" s="91"/>
      <c r="H79" s="91"/>
    </row>
    <row r="80" spans="1:8" x14ac:dyDescent="0.2">
      <c r="A80" s="90"/>
      <c r="B80" s="91"/>
      <c r="C80" s="91"/>
      <c r="D80" s="91"/>
      <c r="E80" s="91"/>
      <c r="F80" s="91"/>
      <c r="G80" s="91"/>
      <c r="H80" s="91"/>
    </row>
    <row r="81" spans="1:8" x14ac:dyDescent="0.2">
      <c r="A81" s="90"/>
      <c r="B81" s="91"/>
      <c r="C81" s="91"/>
      <c r="D81" s="91"/>
      <c r="E81" s="91"/>
      <c r="F81" s="91"/>
      <c r="G81" s="91"/>
      <c r="H81" s="91"/>
    </row>
    <row r="82" spans="1:8" x14ac:dyDescent="0.2">
      <c r="A82" s="90"/>
      <c r="B82" s="91"/>
      <c r="C82" s="91"/>
      <c r="D82" s="91"/>
      <c r="E82" s="91"/>
      <c r="F82" s="91"/>
      <c r="G82" s="91"/>
      <c r="H82" s="91"/>
    </row>
    <row r="83" spans="1:8" x14ac:dyDescent="0.2">
      <c r="A83" s="90" t="str">
        <f>A48</f>
        <v>Potato</v>
      </c>
      <c r="B83" s="91"/>
      <c r="C83" s="91"/>
      <c r="D83" s="91"/>
      <c r="E83" s="91"/>
      <c r="F83" s="91"/>
      <c r="G83" s="91"/>
      <c r="H83" s="91"/>
    </row>
    <row r="84" spans="1:8" x14ac:dyDescent="0.2">
      <c r="A84" s="90"/>
      <c r="B84" s="91"/>
      <c r="C84" s="91"/>
      <c r="D84" s="91"/>
      <c r="E84" s="91"/>
      <c r="F84" s="91"/>
      <c r="G84" s="91"/>
      <c r="H84" s="91"/>
    </row>
    <row r="85" spans="1:8" x14ac:dyDescent="0.2">
      <c r="A85" s="90"/>
      <c r="B85" s="91"/>
      <c r="C85" s="91"/>
      <c r="D85" s="91"/>
      <c r="E85" s="91"/>
      <c r="F85" s="91"/>
      <c r="G85" s="91"/>
      <c r="H85" s="91"/>
    </row>
    <row r="86" spans="1:8" x14ac:dyDescent="0.2">
      <c r="A86" s="90"/>
      <c r="B86" s="91"/>
      <c r="C86" s="91"/>
      <c r="D86" s="91"/>
      <c r="E86" s="91"/>
      <c r="F86" s="91"/>
      <c r="G86" s="91"/>
      <c r="H86" s="91"/>
    </row>
    <row r="87" spans="1:8" x14ac:dyDescent="0.2">
      <c r="A87" s="90">
        <f>A49</f>
        <v>0</v>
      </c>
      <c r="B87" s="91"/>
      <c r="C87" s="91"/>
      <c r="D87" s="91"/>
      <c r="E87" s="91"/>
      <c r="F87" s="91"/>
      <c r="G87" s="91"/>
      <c r="H87" s="91"/>
    </row>
    <row r="88" spans="1:8" x14ac:dyDescent="0.2">
      <c r="A88" s="90"/>
      <c r="B88" s="91"/>
      <c r="C88" s="91"/>
      <c r="D88" s="91"/>
      <c r="E88" s="91"/>
      <c r="F88" s="91"/>
      <c r="G88" s="91"/>
      <c r="H88" s="91"/>
    </row>
    <row r="89" spans="1:8" x14ac:dyDescent="0.2">
      <c r="A89" s="90"/>
      <c r="B89" s="91"/>
      <c r="C89" s="91"/>
      <c r="D89" s="91"/>
      <c r="E89" s="91"/>
      <c r="F89" s="91"/>
      <c r="G89" s="91"/>
      <c r="H89" s="91"/>
    </row>
    <row r="90" spans="1:8" x14ac:dyDescent="0.2">
      <c r="A90" s="90"/>
      <c r="B90" s="91"/>
      <c r="C90" s="91"/>
      <c r="D90" s="91"/>
      <c r="E90" s="91"/>
      <c r="F90" s="91"/>
      <c r="G90" s="91"/>
      <c r="H90" s="91"/>
    </row>
    <row r="91" spans="1:8" x14ac:dyDescent="0.2">
      <c r="A91" s="90">
        <f>A50</f>
        <v>0</v>
      </c>
      <c r="B91" s="91"/>
      <c r="C91" s="91"/>
      <c r="D91" s="91"/>
      <c r="E91" s="91"/>
      <c r="F91" s="91"/>
      <c r="G91" s="91"/>
      <c r="H91" s="91"/>
    </row>
    <row r="92" spans="1:8" x14ac:dyDescent="0.2">
      <c r="A92" s="90"/>
      <c r="B92" s="91"/>
      <c r="C92" s="91"/>
      <c r="D92" s="91"/>
      <c r="E92" s="91"/>
      <c r="F92" s="91"/>
      <c r="G92" s="91"/>
      <c r="H92" s="91"/>
    </row>
    <row r="93" spans="1:8" x14ac:dyDescent="0.2">
      <c r="A93" s="90"/>
      <c r="B93" s="91"/>
      <c r="C93" s="91"/>
      <c r="D93" s="91"/>
      <c r="E93" s="91"/>
      <c r="F93" s="91"/>
      <c r="G93" s="91"/>
      <c r="H93" s="91"/>
    </row>
    <row r="94" spans="1:8" x14ac:dyDescent="0.2">
      <c r="A94" s="90">
        <f>A51</f>
        <v>0</v>
      </c>
      <c r="B94" s="91"/>
      <c r="C94" s="91"/>
      <c r="D94" s="91"/>
      <c r="E94" s="91"/>
      <c r="F94" s="91"/>
      <c r="G94" s="91"/>
      <c r="H94" s="91"/>
    </row>
    <row r="95" spans="1:8" x14ac:dyDescent="0.2">
      <c r="A95" s="90"/>
      <c r="B95" s="91"/>
      <c r="C95" s="91"/>
      <c r="D95" s="91"/>
      <c r="E95" s="91"/>
      <c r="F95" s="91"/>
      <c r="G95" s="91"/>
      <c r="H95" s="91"/>
    </row>
    <row r="96" spans="1:8" x14ac:dyDescent="0.2">
      <c r="A96" s="90"/>
      <c r="B96" s="91"/>
      <c r="C96" s="91"/>
      <c r="D96" s="91"/>
      <c r="E96" s="91"/>
      <c r="F96" s="91"/>
      <c r="G96" s="91"/>
      <c r="H96" s="91"/>
    </row>
    <row r="97" spans="1:8" x14ac:dyDescent="0.2">
      <c r="A97" s="90"/>
      <c r="B97" s="91"/>
      <c r="C97" s="91"/>
      <c r="D97" s="91"/>
      <c r="E97" s="91"/>
      <c r="F97" s="91"/>
      <c r="G97" s="91"/>
      <c r="H97" s="91"/>
    </row>
    <row r="98" spans="1:8" x14ac:dyDescent="0.2">
      <c r="A98" s="90">
        <f>A52</f>
        <v>0</v>
      </c>
      <c r="B98" s="91"/>
      <c r="C98" s="91"/>
      <c r="D98" s="91"/>
      <c r="E98" s="91"/>
      <c r="F98" s="91"/>
      <c r="G98" s="91"/>
      <c r="H98" s="91"/>
    </row>
    <row r="99" spans="1:8" x14ac:dyDescent="0.2">
      <c r="A99" s="90"/>
      <c r="B99" s="91"/>
      <c r="C99" s="91"/>
      <c r="D99" s="91"/>
      <c r="E99" s="91"/>
      <c r="F99" s="91"/>
      <c r="G99" s="91"/>
      <c r="H99" s="91"/>
    </row>
    <row r="100" spans="1:8" x14ac:dyDescent="0.2">
      <c r="A100" s="90"/>
      <c r="B100" s="91"/>
      <c r="C100" s="91"/>
      <c r="D100" s="91"/>
      <c r="E100" s="91"/>
      <c r="F100" s="91"/>
      <c r="G100" s="91"/>
      <c r="H100" s="91"/>
    </row>
    <row r="101" spans="1:8" x14ac:dyDescent="0.2">
      <c r="A101" s="90"/>
      <c r="B101" s="91"/>
      <c r="C101" s="91"/>
      <c r="D101" s="91"/>
      <c r="E101" s="91"/>
      <c r="F101" s="91"/>
      <c r="G101" s="91"/>
      <c r="H101" s="91"/>
    </row>
    <row r="102" spans="1:8" x14ac:dyDescent="0.2">
      <c r="A102" s="90" t="str">
        <f>A53</f>
        <v>Onion</v>
      </c>
      <c r="B102" s="91"/>
      <c r="C102" s="91"/>
      <c r="D102" s="91"/>
      <c r="E102" s="91"/>
      <c r="F102" s="91"/>
      <c r="G102" s="91"/>
      <c r="H102" s="91"/>
    </row>
    <row r="103" spans="1:8" x14ac:dyDescent="0.2">
      <c r="A103" s="90"/>
      <c r="B103" s="91"/>
      <c r="C103" s="91"/>
      <c r="D103" s="91"/>
      <c r="E103" s="91"/>
      <c r="F103" s="91"/>
      <c r="G103" s="91"/>
      <c r="H103" s="91"/>
    </row>
    <row r="104" spans="1:8" x14ac:dyDescent="0.2">
      <c r="A104" s="90"/>
      <c r="B104" s="91"/>
      <c r="C104" s="91"/>
      <c r="D104" s="91"/>
      <c r="E104" s="91"/>
      <c r="F104" s="91"/>
      <c r="G104" s="91"/>
      <c r="H104" s="91"/>
    </row>
    <row r="105" spans="1:8" x14ac:dyDescent="0.2">
      <c r="A105" s="90"/>
      <c r="B105" s="91"/>
      <c r="C105" s="91"/>
      <c r="D105" s="91"/>
      <c r="E105" s="91"/>
      <c r="F105" s="91"/>
      <c r="G105" s="91"/>
      <c r="H105" s="91"/>
    </row>
    <row r="106" spans="1:8" x14ac:dyDescent="0.2">
      <c r="A106" s="90" t="str">
        <f>A54</f>
        <v>Tomato</v>
      </c>
      <c r="B106" s="91"/>
      <c r="C106" s="91"/>
      <c r="D106" s="91"/>
      <c r="E106" s="91"/>
      <c r="F106" s="91"/>
      <c r="G106" s="91"/>
      <c r="H106" s="91"/>
    </row>
    <row r="107" spans="1:8" x14ac:dyDescent="0.2">
      <c r="A107" s="90"/>
      <c r="B107" s="91"/>
      <c r="C107" s="91"/>
      <c r="D107" s="91"/>
      <c r="E107" s="91"/>
      <c r="F107" s="91"/>
      <c r="G107" s="91"/>
      <c r="H107" s="91"/>
    </row>
    <row r="108" spans="1:8" x14ac:dyDescent="0.2">
      <c r="A108" s="90"/>
      <c r="B108" s="91"/>
      <c r="C108" s="91"/>
      <c r="D108" s="91"/>
      <c r="E108" s="91"/>
      <c r="F108" s="91"/>
      <c r="G108" s="91"/>
      <c r="H108" s="91"/>
    </row>
    <row r="109" spans="1:8" x14ac:dyDescent="0.2">
      <c r="A109" s="90"/>
      <c r="B109" s="91"/>
      <c r="C109" s="91"/>
      <c r="D109" s="91"/>
      <c r="E109" s="91"/>
      <c r="F109" s="91"/>
      <c r="G109" s="91"/>
      <c r="H109" s="91"/>
    </row>
    <row r="110" spans="1:8" x14ac:dyDescent="0.2">
      <c r="A110" s="90" t="str">
        <f>A55</f>
        <v>Okra</v>
      </c>
      <c r="B110" s="91"/>
      <c r="C110" s="91"/>
      <c r="D110" s="91"/>
      <c r="E110" s="91"/>
      <c r="F110" s="91"/>
      <c r="G110" s="91"/>
      <c r="H110" s="91"/>
    </row>
    <row r="111" spans="1:8" x14ac:dyDescent="0.2">
      <c r="A111" s="90"/>
      <c r="B111" s="91"/>
      <c r="C111" s="91"/>
      <c r="D111" s="91"/>
      <c r="E111" s="91"/>
      <c r="F111" s="91"/>
      <c r="G111" s="91"/>
      <c r="H111" s="91"/>
    </row>
    <row r="112" spans="1:8" x14ac:dyDescent="0.2">
      <c r="A112" s="90"/>
      <c r="B112" s="91"/>
      <c r="C112" s="91"/>
      <c r="D112" s="91"/>
      <c r="E112" s="91"/>
      <c r="F112" s="91"/>
      <c r="G112" s="91"/>
      <c r="H112" s="91"/>
    </row>
    <row r="113" spans="1:8" x14ac:dyDescent="0.2">
      <c r="A113" s="90"/>
      <c r="B113" s="91"/>
      <c r="C113" s="91"/>
      <c r="D113" s="91"/>
      <c r="E113" s="91"/>
      <c r="F113" s="91"/>
      <c r="G113" s="91"/>
      <c r="H113" s="91"/>
    </row>
    <row r="114" spans="1:8" x14ac:dyDescent="0.2">
      <c r="A114" s="90" t="str">
        <f>A56</f>
        <v>Chilli</v>
      </c>
      <c r="B114" s="91"/>
      <c r="C114" s="91"/>
      <c r="D114" s="91"/>
      <c r="E114" s="91"/>
      <c r="F114" s="91"/>
      <c r="G114" s="91"/>
      <c r="H114" s="91"/>
    </row>
    <row r="115" spans="1:8" x14ac:dyDescent="0.2">
      <c r="A115" s="90"/>
      <c r="B115" s="91"/>
      <c r="C115" s="91"/>
      <c r="D115" s="91"/>
      <c r="E115" s="91"/>
      <c r="F115" s="91"/>
      <c r="G115" s="91"/>
      <c r="H115" s="91"/>
    </row>
    <row r="116" spans="1:8" x14ac:dyDescent="0.2">
      <c r="A116" s="90"/>
      <c r="B116" s="91"/>
      <c r="C116" s="91"/>
      <c r="D116" s="91"/>
      <c r="E116" s="91"/>
      <c r="F116" s="91"/>
      <c r="G116" s="91"/>
      <c r="H116" s="91"/>
    </row>
    <row r="117" spans="1:8" x14ac:dyDescent="0.2">
      <c r="A117" s="90"/>
      <c r="B117" s="91"/>
      <c r="C117" s="91"/>
      <c r="D117" s="91"/>
      <c r="E117" s="91"/>
      <c r="F117" s="91"/>
      <c r="G117" s="91"/>
      <c r="H117" s="91"/>
    </row>
    <row r="118" spans="1:8" x14ac:dyDescent="0.2">
      <c r="A118" s="92" t="str">
        <f t="shared" ref="A118:A123" si="17">A57</f>
        <v>Brinjal</v>
      </c>
      <c r="B118" s="91"/>
      <c r="C118" s="91"/>
      <c r="D118" s="91"/>
      <c r="E118" s="91"/>
      <c r="F118" s="91"/>
      <c r="G118" s="91"/>
      <c r="H118" s="91"/>
    </row>
    <row r="119" spans="1:8" x14ac:dyDescent="0.2">
      <c r="A119" s="90">
        <f t="shared" si="17"/>
        <v>0</v>
      </c>
      <c r="B119" s="91"/>
      <c r="C119" s="91"/>
      <c r="D119" s="91"/>
      <c r="E119" s="91"/>
      <c r="F119" s="91"/>
      <c r="G119" s="91"/>
      <c r="H119" s="91"/>
    </row>
    <row r="120" spans="1:8" x14ac:dyDescent="0.2">
      <c r="A120" s="90">
        <f t="shared" si="17"/>
        <v>0</v>
      </c>
      <c r="B120" s="91"/>
      <c r="C120" s="91"/>
      <c r="D120" s="91"/>
      <c r="E120" s="91"/>
      <c r="F120" s="91"/>
      <c r="G120" s="91"/>
      <c r="H120" s="91"/>
    </row>
    <row r="121" spans="1:8" x14ac:dyDescent="0.2">
      <c r="A121" s="90">
        <f t="shared" si="17"/>
        <v>0</v>
      </c>
      <c r="B121" s="91"/>
      <c r="C121" s="91"/>
      <c r="D121" s="91"/>
      <c r="E121" s="91"/>
      <c r="F121" s="91"/>
      <c r="G121" s="91"/>
      <c r="H121" s="91"/>
    </row>
    <row r="122" spans="1:8" x14ac:dyDescent="0.2">
      <c r="A122" s="90">
        <f t="shared" si="17"/>
        <v>0</v>
      </c>
      <c r="B122" s="91"/>
      <c r="C122" s="91"/>
      <c r="D122" s="91"/>
      <c r="E122" s="91"/>
      <c r="F122" s="91"/>
      <c r="G122" s="91"/>
      <c r="H122" s="91"/>
    </row>
    <row r="123" spans="1:8" x14ac:dyDescent="0.2">
      <c r="A123" s="92" t="str">
        <f t="shared" si="17"/>
        <v>Pomegranate</v>
      </c>
      <c r="B123" s="91"/>
      <c r="C123" s="91"/>
      <c r="D123" s="91"/>
      <c r="E123" s="91"/>
      <c r="F123" s="91"/>
      <c r="G123" s="91"/>
      <c r="H123" s="91"/>
    </row>
    <row r="124" spans="1:8" x14ac:dyDescent="0.2">
      <c r="A124" s="90" t="s">
        <v>525</v>
      </c>
      <c r="B124" s="91">
        <f>(B$62*50%)*0.7</f>
        <v>0</v>
      </c>
      <c r="C124" s="91">
        <f>(C$62*50%)*0.7</f>
        <v>0</v>
      </c>
      <c r="D124" s="91">
        <f t="shared" ref="D124:H126" si="18">(D$62*50%)*0.7</f>
        <v>0</v>
      </c>
      <c r="E124" s="91">
        <f t="shared" si="18"/>
        <v>0</v>
      </c>
      <c r="F124" s="91">
        <f t="shared" si="18"/>
        <v>0</v>
      </c>
      <c r="G124" s="91">
        <f t="shared" si="18"/>
        <v>0</v>
      </c>
      <c r="H124" s="91">
        <f t="shared" si="18"/>
        <v>0</v>
      </c>
    </row>
    <row r="125" spans="1:8" x14ac:dyDescent="0.2">
      <c r="A125" s="90" t="s">
        <v>523</v>
      </c>
      <c r="B125" s="91">
        <f>(B$62*50%)*0.7*2</f>
        <v>0</v>
      </c>
      <c r="C125" s="91">
        <f>(C$62*50%)*0.7</f>
        <v>0</v>
      </c>
      <c r="D125" s="91">
        <f t="shared" si="18"/>
        <v>0</v>
      </c>
      <c r="E125" s="91">
        <f t="shared" si="18"/>
        <v>0</v>
      </c>
      <c r="F125" s="91">
        <f t="shared" si="18"/>
        <v>0</v>
      </c>
      <c r="G125" s="91">
        <f t="shared" si="18"/>
        <v>0</v>
      </c>
      <c r="H125" s="91">
        <f t="shared" si="18"/>
        <v>0</v>
      </c>
    </row>
    <row r="126" spans="1:8" x14ac:dyDescent="0.2">
      <c r="A126" s="90" t="s">
        <v>524</v>
      </c>
      <c r="B126" s="91">
        <f>(B$62*0.3)*0.2</f>
        <v>0</v>
      </c>
      <c r="C126" s="91">
        <f>(C$62*50%)*0.7</f>
        <v>0</v>
      </c>
      <c r="D126" s="91">
        <f t="shared" si="18"/>
        <v>0</v>
      </c>
      <c r="E126" s="91">
        <f t="shared" si="18"/>
        <v>0</v>
      </c>
      <c r="F126" s="91">
        <f t="shared" si="18"/>
        <v>0</v>
      </c>
      <c r="G126" s="91">
        <f t="shared" si="18"/>
        <v>0</v>
      </c>
      <c r="H126" s="91">
        <f t="shared" si="18"/>
        <v>0</v>
      </c>
    </row>
    <row r="127" spans="1:8" x14ac:dyDescent="0.2">
      <c r="A127" s="90" t="str">
        <f t="shared" ref="A127" si="19">A63</f>
        <v>Custard Apple</v>
      </c>
      <c r="B127" s="91"/>
      <c r="C127" s="91"/>
      <c r="D127" s="91"/>
      <c r="E127" s="91"/>
      <c r="F127" s="91"/>
      <c r="G127" s="91"/>
      <c r="H127" s="91"/>
    </row>
    <row r="128" spans="1:8" x14ac:dyDescent="0.2">
      <c r="A128" s="90"/>
      <c r="B128" s="91"/>
      <c r="C128" s="91"/>
      <c r="D128" s="91"/>
      <c r="E128" s="91"/>
      <c r="F128" s="91"/>
      <c r="G128" s="91"/>
      <c r="H128" s="91"/>
    </row>
    <row r="129" spans="1:8" x14ac:dyDescent="0.2">
      <c r="A129" s="90"/>
      <c r="B129" s="91"/>
      <c r="C129" s="91"/>
      <c r="D129" s="91"/>
      <c r="E129" s="91"/>
      <c r="F129" s="91"/>
      <c r="G129" s="91"/>
      <c r="H129" s="91"/>
    </row>
    <row r="130" spans="1:8" x14ac:dyDescent="0.2">
      <c r="A130" s="90"/>
      <c r="B130" s="91"/>
      <c r="C130" s="91"/>
      <c r="D130" s="91"/>
      <c r="E130" s="91"/>
      <c r="F130" s="91"/>
      <c r="G130" s="91"/>
      <c r="H130" s="91"/>
    </row>
    <row r="131" spans="1:8" x14ac:dyDescent="0.2">
      <c r="A131" s="90" t="str">
        <f>A64</f>
        <v>Guava</v>
      </c>
      <c r="B131" s="91"/>
      <c r="C131" s="91"/>
      <c r="D131" s="91"/>
      <c r="E131" s="91"/>
      <c r="F131" s="91"/>
      <c r="G131" s="91"/>
      <c r="H131" s="91"/>
    </row>
    <row r="132" spans="1:8" x14ac:dyDescent="0.2">
      <c r="A132" s="90"/>
      <c r="B132" s="91"/>
      <c r="C132" s="91"/>
      <c r="D132" s="91"/>
      <c r="E132" s="91"/>
      <c r="F132" s="91"/>
      <c r="G132" s="91"/>
      <c r="H132" s="91"/>
    </row>
    <row r="133" spans="1:8" x14ac:dyDescent="0.2">
      <c r="A133" s="90"/>
      <c r="B133" s="91"/>
      <c r="C133" s="91"/>
      <c r="D133" s="91"/>
      <c r="E133" s="91"/>
      <c r="F133" s="91"/>
      <c r="G133" s="91"/>
      <c r="H133" s="91"/>
    </row>
    <row r="134" spans="1:8" x14ac:dyDescent="0.2">
      <c r="A134" s="90"/>
      <c r="B134" s="91"/>
      <c r="C134" s="91"/>
      <c r="D134" s="91"/>
      <c r="E134" s="91"/>
      <c r="F134" s="91"/>
      <c r="G134" s="91"/>
      <c r="H134" s="91"/>
    </row>
    <row r="135" spans="1:8" x14ac:dyDescent="0.2">
      <c r="A135" s="90" t="str">
        <f>A65</f>
        <v>Citrus</v>
      </c>
      <c r="B135" s="91"/>
      <c r="C135" s="91"/>
      <c r="D135" s="91"/>
      <c r="E135" s="91"/>
      <c r="F135" s="91"/>
      <c r="G135" s="91"/>
      <c r="H135" s="91"/>
    </row>
    <row r="136" spans="1:8" x14ac:dyDescent="0.2">
      <c r="A136" s="90"/>
      <c r="B136" s="91"/>
      <c r="C136" s="91"/>
      <c r="D136" s="91"/>
      <c r="E136" s="91"/>
      <c r="F136" s="91"/>
      <c r="G136" s="91"/>
      <c r="H136" s="91"/>
    </row>
    <row r="137" spans="1:8" x14ac:dyDescent="0.2">
      <c r="A137" s="90"/>
      <c r="B137" s="91"/>
      <c r="C137" s="91"/>
      <c r="D137" s="91"/>
      <c r="E137" s="91"/>
      <c r="F137" s="91"/>
      <c r="G137" s="91"/>
      <c r="H137" s="91"/>
    </row>
    <row r="138" spans="1:8" x14ac:dyDescent="0.2">
      <c r="A138" s="90"/>
      <c r="B138" s="91"/>
      <c r="C138" s="91"/>
      <c r="D138" s="91"/>
      <c r="E138" s="91"/>
      <c r="F138" s="91"/>
      <c r="G138" s="91"/>
      <c r="H138" s="91"/>
    </row>
    <row r="139" spans="1:8" x14ac:dyDescent="0.2">
      <c r="A139" s="180"/>
      <c r="B139" s="274"/>
      <c r="C139" s="274"/>
      <c r="D139" s="274"/>
      <c r="E139" s="274"/>
      <c r="F139" s="274"/>
      <c r="G139" s="274"/>
      <c r="H139" s="274"/>
    </row>
    <row r="140" spans="1:8" x14ac:dyDescent="0.2">
      <c r="A140" s="181" t="s">
        <v>449</v>
      </c>
    </row>
    <row r="141" spans="1:8" x14ac:dyDescent="0.2">
      <c r="A141" t="s">
        <v>528</v>
      </c>
      <c r="B141" s="27">
        <f t="shared" ref="B141:C143" si="20">(B124*100)</f>
        <v>0</v>
      </c>
      <c r="C141" s="27">
        <f t="shared" si="20"/>
        <v>0</v>
      </c>
      <c r="D141" s="27">
        <f t="shared" ref="D141:H141" si="21">(D124*100)</f>
        <v>0</v>
      </c>
      <c r="E141" s="27">
        <f t="shared" si="21"/>
        <v>0</v>
      </c>
      <c r="F141" s="27">
        <f t="shared" si="21"/>
        <v>0</v>
      </c>
      <c r="G141" s="27">
        <f t="shared" si="21"/>
        <v>0</v>
      </c>
      <c r="H141" s="27">
        <f t="shared" si="21"/>
        <v>0</v>
      </c>
    </row>
    <row r="142" spans="1:8" x14ac:dyDescent="0.2">
      <c r="A142" t="s">
        <v>529</v>
      </c>
      <c r="B142" s="27">
        <f t="shared" si="20"/>
        <v>0</v>
      </c>
      <c r="C142" s="27">
        <f t="shared" si="20"/>
        <v>0</v>
      </c>
      <c r="D142" s="27">
        <f t="shared" ref="D142:H142" si="22">(D125*100)</f>
        <v>0</v>
      </c>
      <c r="E142" s="27">
        <f t="shared" si="22"/>
        <v>0</v>
      </c>
      <c r="F142" s="27">
        <f t="shared" si="22"/>
        <v>0</v>
      </c>
      <c r="G142" s="27">
        <f t="shared" si="22"/>
        <v>0</v>
      </c>
      <c r="H142" s="27">
        <f t="shared" si="22"/>
        <v>0</v>
      </c>
    </row>
    <row r="143" spans="1:8" x14ac:dyDescent="0.2">
      <c r="A143" t="s">
        <v>530</v>
      </c>
      <c r="B143" s="27">
        <f t="shared" si="20"/>
        <v>0</v>
      </c>
      <c r="C143" s="27">
        <f t="shared" si="20"/>
        <v>0</v>
      </c>
      <c r="D143" s="27">
        <f t="shared" ref="D143:H143" si="23">(D126*100)</f>
        <v>0</v>
      </c>
      <c r="E143" s="27">
        <f t="shared" si="23"/>
        <v>0</v>
      </c>
      <c r="F143" s="27">
        <f t="shared" si="23"/>
        <v>0</v>
      </c>
      <c r="G143" s="27">
        <f t="shared" si="23"/>
        <v>0</v>
      </c>
      <c r="H143" s="27">
        <f t="shared" si="23"/>
        <v>0</v>
      </c>
    </row>
    <row r="145" spans="1:10" x14ac:dyDescent="0.2">
      <c r="B145" s="27"/>
      <c r="C145" s="27"/>
    </row>
    <row r="146" spans="1:10" x14ac:dyDescent="0.2">
      <c r="B146" s="27"/>
      <c r="C146" s="27"/>
      <c r="D146" s="27"/>
    </row>
    <row r="147" spans="1:10" ht="18" x14ac:dyDescent="0.2">
      <c r="A147" s="451" t="s">
        <v>596</v>
      </c>
      <c r="B147" s="451"/>
      <c r="C147" s="451"/>
      <c r="D147" s="451"/>
      <c r="E147" s="451"/>
      <c r="F147" s="451"/>
      <c r="G147" s="451"/>
      <c r="H147" s="451"/>
      <c r="I147" s="451"/>
      <c r="J147" s="451"/>
    </row>
    <row r="148" spans="1:10" x14ac:dyDescent="0.2">
      <c r="A148" s="286"/>
      <c r="B148" s="286"/>
      <c r="C148" s="286"/>
      <c r="D148" s="286"/>
      <c r="E148" s="286"/>
      <c r="F148" s="286"/>
      <c r="G148" s="286"/>
      <c r="H148" s="286"/>
    </row>
    <row r="149" spans="1:10" x14ac:dyDescent="0.2">
      <c r="A149" s="289"/>
      <c r="B149" s="289"/>
      <c r="C149" s="289"/>
      <c r="D149" s="187">
        <v>1</v>
      </c>
      <c r="E149" s="188">
        <f>(D149*5%)+D149</f>
        <v>1.05</v>
      </c>
      <c r="F149" s="188">
        <f t="shared" ref="F149:J149" si="24">(E149*5%)+E149</f>
        <v>1.1025</v>
      </c>
      <c r="G149" s="188">
        <f t="shared" si="24"/>
        <v>1.1576250000000001</v>
      </c>
      <c r="H149" s="188">
        <f t="shared" si="24"/>
        <v>1.2155062500000002</v>
      </c>
      <c r="I149" s="188">
        <f t="shared" si="24"/>
        <v>1.2762815625000004</v>
      </c>
      <c r="J149" s="188">
        <f t="shared" si="24"/>
        <v>1.3400956406250004</v>
      </c>
    </row>
    <row r="150" spans="1:10" x14ac:dyDescent="0.2">
      <c r="A150" s="89"/>
      <c r="B150" s="89"/>
      <c r="C150" s="89"/>
      <c r="D150" s="89"/>
      <c r="E150" s="89"/>
      <c r="F150" s="89"/>
      <c r="G150" s="89"/>
      <c r="H150" s="89"/>
      <c r="I150" s="89"/>
      <c r="J150" s="89"/>
    </row>
    <row r="151" spans="1:10" x14ac:dyDescent="0.2">
      <c r="A151" s="143" t="s">
        <v>0</v>
      </c>
      <c r="B151" s="143" t="s">
        <v>132</v>
      </c>
      <c r="C151" s="143" t="s">
        <v>153</v>
      </c>
      <c r="D151" s="115" t="s">
        <v>2</v>
      </c>
      <c r="E151" s="115" t="s">
        <v>3</v>
      </c>
      <c r="F151" s="115" t="s">
        <v>4</v>
      </c>
      <c r="G151" s="115" t="s">
        <v>5</v>
      </c>
      <c r="H151" s="115" t="s">
        <v>6</v>
      </c>
      <c r="I151" s="115" t="s">
        <v>170</v>
      </c>
      <c r="J151" s="115" t="s">
        <v>169</v>
      </c>
    </row>
    <row r="152" spans="1:10" x14ac:dyDescent="0.2">
      <c r="A152" s="90"/>
      <c r="B152" s="90"/>
      <c r="C152" s="90"/>
      <c r="D152" s="90"/>
      <c r="E152" s="90"/>
      <c r="F152" s="90"/>
      <c r="G152" s="90"/>
      <c r="H152" s="90"/>
      <c r="I152" s="90"/>
      <c r="J152" s="90"/>
    </row>
    <row r="153" spans="1:10" x14ac:dyDescent="0.2">
      <c r="A153" s="92" t="s">
        <v>126</v>
      </c>
      <c r="B153" s="92"/>
      <c r="C153" s="92"/>
      <c r="D153" s="109"/>
      <c r="E153" s="109"/>
      <c r="F153" s="109"/>
      <c r="G153" s="109"/>
      <c r="H153" s="109"/>
      <c r="I153" s="90"/>
      <c r="J153" s="90"/>
    </row>
    <row r="154" spans="1:10" x14ac:dyDescent="0.2">
      <c r="A154" s="90" t="str">
        <f>A124</f>
        <v>Pomegranate Arils</v>
      </c>
      <c r="B154" s="223" t="s">
        <v>527</v>
      </c>
      <c r="C154" s="223">
        <v>150</v>
      </c>
      <c r="D154" s="91">
        <f>(B141*(1-'5.Closing Stock &amp; W Capital'!$D$18)*$C154*D$149)</f>
        <v>0</v>
      </c>
      <c r="E154" s="91">
        <f>(((C141*(1-'5.Closing Stock &amp; W Capital'!$D$18))+(B141*'5.Closing Stock &amp; W Capital'!$D$18))*$C154*E$149)</f>
        <v>0</v>
      </c>
      <c r="F154" s="91">
        <f>(((D141*(1-'5.Closing Stock &amp; W Capital'!$D$18))+(C141*'5.Closing Stock &amp; W Capital'!$D$18))*$C154*F$149)</f>
        <v>0</v>
      </c>
      <c r="G154" s="91">
        <f>(((E141*(1-'5.Closing Stock &amp; W Capital'!$D$18))+(D141*'5.Closing Stock &amp; W Capital'!$D$18))*$C154*G$149)</f>
        <v>0</v>
      </c>
      <c r="H154" s="91">
        <f>(((F141*(1-'5.Closing Stock &amp; W Capital'!$D$18))+(E141*'5.Closing Stock &amp; W Capital'!$D$18))*$C154*H$149)</f>
        <v>0</v>
      </c>
      <c r="I154" s="91">
        <f>(((G141*(1-'5.Closing Stock &amp; W Capital'!$D$18))+(F141*'5.Closing Stock &amp; W Capital'!$D$18))*$C154*I$149)</f>
        <v>0</v>
      </c>
      <c r="J154" s="91">
        <f>(((H141*(1-'5.Closing Stock &amp; W Capital'!$D$18))+(G141*'5.Closing Stock &amp; W Capital'!$D$18))*$C154*J$149)</f>
        <v>0</v>
      </c>
    </row>
    <row r="155" spans="1:10" x14ac:dyDescent="0.2">
      <c r="A155" s="90" t="str">
        <f>A125</f>
        <v>Pomegranate Juice</v>
      </c>
      <c r="B155" s="223" t="s">
        <v>526</v>
      </c>
      <c r="C155" s="223">
        <v>40</v>
      </c>
      <c r="D155" s="91">
        <f>(B142*(1-'5.Closing Stock &amp; W Capital'!$D$18)*$C155*D$149)</f>
        <v>0</v>
      </c>
      <c r="E155" s="91">
        <f>(((C142*(1-'5.Closing Stock &amp; W Capital'!$D$18))+(B142*'5.Closing Stock &amp; W Capital'!$D$18))*$C155*E$149)</f>
        <v>0</v>
      </c>
      <c r="F155" s="91">
        <f>(((D142*(1-'5.Closing Stock &amp; W Capital'!$D$18))+(C142*'5.Closing Stock &amp; W Capital'!$D$18))*$C155*F$149)</f>
        <v>0</v>
      </c>
      <c r="G155" s="91">
        <f>(((E142*(1-'5.Closing Stock &amp; W Capital'!$D$18))+(D142*'5.Closing Stock &amp; W Capital'!$D$18))*$C155*G$149)</f>
        <v>0</v>
      </c>
      <c r="H155" s="91">
        <f>(((F142*(1-'5.Closing Stock &amp; W Capital'!$D$18))+(E142*'5.Closing Stock &amp; W Capital'!$D$18))*$C155*H$149)</f>
        <v>0</v>
      </c>
      <c r="I155" s="91">
        <f>(((G142*(1-'5.Closing Stock &amp; W Capital'!$D$18))+(F142*'5.Closing Stock &amp; W Capital'!$D$18))*$C155*I$149)</f>
        <v>0</v>
      </c>
      <c r="J155" s="91">
        <f>(((H142*(1-'5.Closing Stock &amp; W Capital'!$D$18))+(G142*'5.Closing Stock &amp; W Capital'!$D$18))*$C155*J$149)</f>
        <v>0</v>
      </c>
    </row>
    <row r="156" spans="1:10" x14ac:dyDescent="0.2">
      <c r="A156" s="90" t="str">
        <f>A126</f>
        <v>Pomegranate Powder</v>
      </c>
      <c r="B156" s="223" t="s">
        <v>362</v>
      </c>
      <c r="C156" s="223">
        <v>50</v>
      </c>
      <c r="D156" s="91">
        <f>(B143*(1-'5.Closing Stock &amp; W Capital'!$D$18)*$C156*D$149)</f>
        <v>0</v>
      </c>
      <c r="E156" s="91">
        <f>(((C143*(1-'5.Closing Stock &amp; W Capital'!$D$18))+(B143*'5.Closing Stock &amp; W Capital'!$D$18))*$C156*E$149)</f>
        <v>0</v>
      </c>
      <c r="F156" s="91">
        <f>(((D143*(1-'5.Closing Stock &amp; W Capital'!$D$18))+(C143*'5.Closing Stock &amp; W Capital'!$D$18))*$C156*F$149)</f>
        <v>0</v>
      </c>
      <c r="G156" s="91">
        <f>(((E143*(1-'5.Closing Stock &amp; W Capital'!$D$18))+(D143*'5.Closing Stock &amp; W Capital'!$D$18))*$C156*G$149)</f>
        <v>0</v>
      </c>
      <c r="H156" s="91">
        <f>(((F143*(1-'5.Closing Stock &amp; W Capital'!$D$18))+(E143*'5.Closing Stock &amp; W Capital'!$D$18))*$C156*H$149)</f>
        <v>0</v>
      </c>
      <c r="I156" s="91">
        <f>(((G143*(1-'5.Closing Stock &amp; W Capital'!$D$18))+(F143*'5.Closing Stock &amp; W Capital'!$D$18))*$C156*I$149)</f>
        <v>0</v>
      </c>
      <c r="J156" s="91">
        <f>(((H143*(1-'5.Closing Stock &amp; W Capital'!$D$18))+(G143*'5.Closing Stock &amp; W Capital'!$D$18))*$C156*J$149)</f>
        <v>0</v>
      </c>
    </row>
    <row r="157" spans="1:10" x14ac:dyDescent="0.2">
      <c r="A157" s="90"/>
      <c r="B157" s="223"/>
      <c r="C157" s="223"/>
      <c r="D157" s="91"/>
      <c r="E157" s="91"/>
      <c r="F157" s="91"/>
      <c r="G157" s="91"/>
      <c r="H157" s="91"/>
      <c r="I157" s="91"/>
      <c r="J157" s="91"/>
    </row>
    <row r="158" spans="1:10" x14ac:dyDescent="0.2">
      <c r="A158" s="90"/>
      <c r="B158" s="90"/>
      <c r="C158" s="90"/>
      <c r="D158" s="91"/>
      <c r="E158" s="91"/>
      <c r="F158" s="91"/>
      <c r="G158" s="91"/>
      <c r="H158" s="91"/>
      <c r="I158" s="91"/>
      <c r="J158" s="91"/>
    </row>
    <row r="159" spans="1:10" x14ac:dyDescent="0.2">
      <c r="A159" s="92" t="s">
        <v>126</v>
      </c>
      <c r="B159" s="92"/>
      <c r="C159" s="92"/>
      <c r="D159" s="110">
        <f t="shared" ref="D159:J159" si="25">SUM(D154:D157)</f>
        <v>0</v>
      </c>
      <c r="E159" s="110">
        <f t="shared" si="25"/>
        <v>0</v>
      </c>
      <c r="F159" s="110">
        <f t="shared" si="25"/>
        <v>0</v>
      </c>
      <c r="G159" s="110">
        <f t="shared" si="25"/>
        <v>0</v>
      </c>
      <c r="H159" s="110">
        <f t="shared" si="25"/>
        <v>0</v>
      </c>
      <c r="I159" s="110">
        <f t="shared" si="25"/>
        <v>0</v>
      </c>
      <c r="J159" s="110">
        <f t="shared" si="25"/>
        <v>0</v>
      </c>
    </row>
    <row r="160" spans="1:10" x14ac:dyDescent="0.2">
      <c r="A160" s="90"/>
      <c r="B160" s="90"/>
      <c r="C160" s="90"/>
      <c r="D160" s="91"/>
      <c r="E160" s="91"/>
      <c r="F160" s="91"/>
      <c r="G160" s="91"/>
      <c r="H160" s="91"/>
      <c r="I160" s="91"/>
      <c r="J160" s="91"/>
    </row>
    <row r="161" spans="1:10" x14ac:dyDescent="0.2">
      <c r="A161" s="92" t="s">
        <v>142</v>
      </c>
      <c r="B161" s="92"/>
      <c r="C161" s="92"/>
      <c r="D161" s="91"/>
      <c r="E161" s="91"/>
      <c r="F161" s="91"/>
      <c r="G161" s="91"/>
      <c r="H161" s="91"/>
      <c r="I161" s="91"/>
      <c r="J161" s="91"/>
    </row>
    <row r="162" spans="1:10" x14ac:dyDescent="0.2">
      <c r="A162" s="92" t="s">
        <v>314</v>
      </c>
      <c r="B162" s="92"/>
      <c r="C162" s="90"/>
      <c r="D162" s="91"/>
      <c r="E162" s="91"/>
      <c r="F162" s="91"/>
      <c r="G162" s="91"/>
      <c r="H162" s="91"/>
      <c r="I162" s="91"/>
      <c r="J162" s="91"/>
    </row>
    <row r="163" spans="1:10" x14ac:dyDescent="0.2">
      <c r="A163" s="94" t="s">
        <v>531</v>
      </c>
      <c r="B163" s="223" t="s">
        <v>363</v>
      </c>
      <c r="C163" s="232">
        <v>6000</v>
      </c>
      <c r="D163" s="91">
        <f>B62*$C163*D$149</f>
        <v>0</v>
      </c>
      <c r="E163" s="91">
        <f>C62*$C163*E$149</f>
        <v>0</v>
      </c>
      <c r="F163" s="91">
        <f t="shared" ref="F163:J163" si="26">D62*$C163*F$149</f>
        <v>0</v>
      </c>
      <c r="G163" s="91">
        <f t="shared" si="26"/>
        <v>0</v>
      </c>
      <c r="H163" s="91">
        <f t="shared" si="26"/>
        <v>0</v>
      </c>
      <c r="I163" s="91">
        <f t="shared" si="26"/>
        <v>0</v>
      </c>
      <c r="J163" s="91">
        <f t="shared" si="26"/>
        <v>0</v>
      </c>
    </row>
    <row r="164" spans="1:10" x14ac:dyDescent="0.2">
      <c r="A164" s="90" t="s">
        <v>532</v>
      </c>
      <c r="B164" s="223" t="s">
        <v>363</v>
      </c>
      <c r="C164" s="223">
        <v>2000</v>
      </c>
      <c r="D164" s="91">
        <f>(B62*10%)*$C164*D$149</f>
        <v>0</v>
      </c>
      <c r="E164" s="91">
        <f t="shared" ref="E164:J164" si="27">(C62*10%)*$C164*E$149</f>
        <v>0</v>
      </c>
      <c r="F164" s="91">
        <f t="shared" si="27"/>
        <v>0</v>
      </c>
      <c r="G164" s="91">
        <f t="shared" si="27"/>
        <v>0</v>
      </c>
      <c r="H164" s="91">
        <f t="shared" si="27"/>
        <v>0</v>
      </c>
      <c r="I164" s="91">
        <f t="shared" si="27"/>
        <v>0</v>
      </c>
      <c r="J164" s="91">
        <f t="shared" si="27"/>
        <v>0</v>
      </c>
    </row>
    <row r="165" spans="1:10" x14ac:dyDescent="0.2">
      <c r="A165" s="90" t="s">
        <v>324</v>
      </c>
      <c r="B165" s="223">
        <v>5</v>
      </c>
      <c r="C165" s="223">
        <v>300</v>
      </c>
      <c r="D165" s="91">
        <f t="shared" ref="D165:J165" si="28">B12*$B$165*$C$165*D149</f>
        <v>0</v>
      </c>
      <c r="E165" s="91">
        <f t="shared" si="28"/>
        <v>0</v>
      </c>
      <c r="F165" s="91">
        <f t="shared" si="28"/>
        <v>0</v>
      </c>
      <c r="G165" s="91">
        <f t="shared" si="28"/>
        <v>0</v>
      </c>
      <c r="H165" s="91">
        <f t="shared" si="28"/>
        <v>0</v>
      </c>
      <c r="I165" s="91">
        <f t="shared" si="28"/>
        <v>0</v>
      </c>
      <c r="J165" s="91">
        <f t="shared" si="28"/>
        <v>0</v>
      </c>
    </row>
    <row r="166" spans="1:10" x14ac:dyDescent="0.2">
      <c r="A166" s="90" t="s">
        <v>144</v>
      </c>
      <c r="B166" s="90">
        <f>'2.Capex Details'!H76*0.746*8</f>
        <v>0</v>
      </c>
      <c r="C166" s="223">
        <v>8</v>
      </c>
      <c r="D166" s="91">
        <f t="shared" ref="D166:J166" si="29">$B$166*$C$166*B12*D149</f>
        <v>0</v>
      </c>
      <c r="E166" s="91">
        <f t="shared" si="29"/>
        <v>0</v>
      </c>
      <c r="F166" s="91">
        <f t="shared" si="29"/>
        <v>0</v>
      </c>
      <c r="G166" s="91">
        <f t="shared" si="29"/>
        <v>0</v>
      </c>
      <c r="H166" s="91">
        <f t="shared" si="29"/>
        <v>0</v>
      </c>
      <c r="I166" s="91">
        <f t="shared" si="29"/>
        <v>0</v>
      </c>
      <c r="J166" s="91">
        <f t="shared" si="29"/>
        <v>0</v>
      </c>
    </row>
    <row r="167" spans="1:10" x14ac:dyDescent="0.2">
      <c r="A167" s="90" t="s">
        <v>297</v>
      </c>
      <c r="B167" s="90" t="s">
        <v>363</v>
      </c>
      <c r="C167" s="223">
        <v>10</v>
      </c>
      <c r="D167" s="91">
        <f>B62*$C167*D$149</f>
        <v>0</v>
      </c>
      <c r="E167" s="91">
        <f t="shared" ref="E167:J167" si="30">C62*$C167*E$149</f>
        <v>0</v>
      </c>
      <c r="F167" s="91">
        <f t="shared" si="30"/>
        <v>0</v>
      </c>
      <c r="G167" s="91">
        <f t="shared" si="30"/>
        <v>0</v>
      </c>
      <c r="H167" s="91">
        <f t="shared" si="30"/>
        <v>0</v>
      </c>
      <c r="I167" s="91">
        <f t="shared" si="30"/>
        <v>0</v>
      </c>
      <c r="J167" s="91">
        <f t="shared" si="30"/>
        <v>0</v>
      </c>
    </row>
    <row r="168" spans="1:10" x14ac:dyDescent="0.2">
      <c r="A168" s="104" t="s">
        <v>298</v>
      </c>
      <c r="B168" s="104"/>
      <c r="C168" s="234">
        <v>2</v>
      </c>
      <c r="D168" s="91">
        <f>SUM(B141:B143)*$C$168*D$149</f>
        <v>0</v>
      </c>
      <c r="E168" s="91">
        <f t="shared" ref="E168:J168" si="31">SUM(C141:C143)*$C$168*E$149</f>
        <v>0</v>
      </c>
      <c r="F168" s="91">
        <f t="shared" si="31"/>
        <v>0</v>
      </c>
      <c r="G168" s="91">
        <f t="shared" si="31"/>
        <v>0</v>
      </c>
      <c r="H168" s="91">
        <f t="shared" si="31"/>
        <v>0</v>
      </c>
      <c r="I168" s="91">
        <f t="shared" si="31"/>
        <v>0</v>
      </c>
      <c r="J168" s="91">
        <f t="shared" si="31"/>
        <v>0</v>
      </c>
    </row>
    <row r="169" spans="1:10" x14ac:dyDescent="0.2">
      <c r="A169" s="90" t="s">
        <v>299</v>
      </c>
      <c r="B169" s="90"/>
      <c r="C169" s="223">
        <v>1</v>
      </c>
      <c r="D169" s="91">
        <f>SUM(B141:B143)*$C$169*D$149</f>
        <v>0</v>
      </c>
      <c r="E169" s="91">
        <f t="shared" ref="E169:J169" si="32">SUM(C141:C143)*$C$169*E$149</f>
        <v>0</v>
      </c>
      <c r="F169" s="91">
        <f t="shared" si="32"/>
        <v>0</v>
      </c>
      <c r="G169" s="91">
        <f t="shared" si="32"/>
        <v>0</v>
      </c>
      <c r="H169" s="91">
        <f t="shared" si="32"/>
        <v>0</v>
      </c>
      <c r="I169" s="91">
        <f t="shared" si="32"/>
        <v>0</v>
      </c>
      <c r="J169" s="91">
        <f t="shared" si="32"/>
        <v>0</v>
      </c>
    </row>
    <row r="170" spans="1:10" x14ac:dyDescent="0.2">
      <c r="A170" s="9"/>
      <c r="B170" s="9"/>
      <c r="C170" s="9"/>
      <c r="D170" s="9"/>
      <c r="E170" s="9"/>
      <c r="F170" s="9"/>
      <c r="G170" s="9"/>
      <c r="H170" s="9"/>
      <c r="I170" s="9"/>
      <c r="J170" s="9"/>
    </row>
    <row r="171" spans="1:10" x14ac:dyDescent="0.2">
      <c r="A171" s="9"/>
      <c r="B171" s="9"/>
      <c r="C171" s="9"/>
      <c r="D171" s="9"/>
      <c r="E171" s="9"/>
      <c r="F171" s="9"/>
      <c r="G171" s="9"/>
      <c r="H171" s="9"/>
      <c r="I171" s="9"/>
      <c r="J171" s="9"/>
    </row>
    <row r="172" spans="1:10" x14ac:dyDescent="0.2">
      <c r="A172" s="9"/>
      <c r="B172" s="9"/>
      <c r="C172" s="9"/>
      <c r="D172" s="9"/>
      <c r="E172" s="9"/>
      <c r="F172" s="9"/>
      <c r="G172" s="9"/>
      <c r="H172" s="9"/>
      <c r="I172" s="9"/>
      <c r="J172" s="9"/>
    </row>
    <row r="173" spans="1:10" x14ac:dyDescent="0.2">
      <c r="A173" s="9"/>
      <c r="B173" s="9"/>
      <c r="C173" s="9"/>
      <c r="D173" s="9"/>
      <c r="E173" s="9"/>
      <c r="F173" s="9"/>
      <c r="G173" s="9"/>
      <c r="H173" s="9"/>
      <c r="I173" s="9"/>
      <c r="J173" s="9"/>
    </row>
    <row r="174" spans="1:10" x14ac:dyDescent="0.2">
      <c r="A174" s="189" t="s">
        <v>345</v>
      </c>
      <c r="B174" s="91"/>
      <c r="C174" s="91"/>
      <c r="D174" s="91"/>
      <c r="E174" s="91">
        <v>0</v>
      </c>
      <c r="F174" s="91">
        <v>0</v>
      </c>
      <c r="G174" s="91">
        <v>0</v>
      </c>
      <c r="H174" s="91">
        <v>0</v>
      </c>
      <c r="I174" s="91">
        <v>0</v>
      </c>
      <c r="J174" s="91">
        <v>0</v>
      </c>
    </row>
    <row r="175" spans="1:10" x14ac:dyDescent="0.2">
      <c r="A175" s="189" t="s">
        <v>346</v>
      </c>
      <c r="B175" s="91"/>
      <c r="C175" s="91"/>
      <c r="D175" s="91">
        <v>0</v>
      </c>
      <c r="E175" s="91">
        <v>0</v>
      </c>
      <c r="F175" s="91">
        <v>0</v>
      </c>
      <c r="G175" s="91">
        <v>0</v>
      </c>
      <c r="H175" s="91">
        <v>0</v>
      </c>
      <c r="I175" s="91">
        <v>0</v>
      </c>
      <c r="J175" s="91">
        <v>0</v>
      </c>
    </row>
    <row r="176" spans="1:10" x14ac:dyDescent="0.2">
      <c r="A176" s="91"/>
      <c r="B176" s="91"/>
      <c r="C176" s="91"/>
      <c r="D176" s="91"/>
      <c r="E176" s="91"/>
      <c r="F176" s="91"/>
      <c r="G176" s="91"/>
      <c r="H176" s="91"/>
      <c r="I176" s="91"/>
      <c r="J176" s="91"/>
    </row>
    <row r="177" spans="1:10" x14ac:dyDescent="0.2">
      <c r="A177" s="110" t="s">
        <v>325</v>
      </c>
      <c r="B177" s="91"/>
      <c r="C177" s="91"/>
      <c r="D177" s="110">
        <v>0</v>
      </c>
      <c r="E177" s="110">
        <v>0</v>
      </c>
      <c r="F177" s="110">
        <v>0</v>
      </c>
      <c r="G177" s="110">
        <v>0</v>
      </c>
      <c r="H177" s="110">
        <v>0</v>
      </c>
      <c r="I177" s="110">
        <v>0</v>
      </c>
      <c r="J177" s="110">
        <v>0</v>
      </c>
    </row>
    <row r="178" spans="1:10" x14ac:dyDescent="0.2">
      <c r="A178" s="89"/>
      <c r="B178" s="89"/>
      <c r="C178" s="89"/>
      <c r="D178" s="89"/>
      <c r="E178" s="89"/>
      <c r="F178" s="89"/>
      <c r="G178" s="89"/>
      <c r="H178" s="89"/>
      <c r="I178" s="89"/>
      <c r="J178" s="89"/>
    </row>
    <row r="179" spans="1:10" x14ac:dyDescent="0.2">
      <c r="A179" s="190" t="s">
        <v>312</v>
      </c>
      <c r="B179" s="190"/>
      <c r="C179" s="190"/>
      <c r="D179" s="110"/>
      <c r="E179" s="110"/>
      <c r="F179" s="110"/>
      <c r="G179" s="110"/>
      <c r="H179" s="110"/>
      <c r="I179" s="110"/>
      <c r="J179" s="110"/>
    </row>
    <row r="180" spans="1:10" x14ac:dyDescent="0.2">
      <c r="A180" s="90" t="s">
        <v>189</v>
      </c>
      <c r="B180" s="223">
        <v>0</v>
      </c>
      <c r="C180" s="232"/>
      <c r="D180" s="91">
        <f t="shared" ref="D180:J180" si="33">$B$180*$C$180*12*D149</f>
        <v>0</v>
      </c>
      <c r="E180" s="91">
        <f t="shared" si="33"/>
        <v>0</v>
      </c>
      <c r="F180" s="91">
        <f t="shared" si="33"/>
        <v>0</v>
      </c>
      <c r="G180" s="91">
        <f t="shared" si="33"/>
        <v>0</v>
      </c>
      <c r="H180" s="91">
        <f t="shared" si="33"/>
        <v>0</v>
      </c>
      <c r="I180" s="91">
        <f t="shared" si="33"/>
        <v>0</v>
      </c>
      <c r="J180" s="91">
        <f t="shared" si="33"/>
        <v>0</v>
      </c>
    </row>
    <row r="181" spans="1:10" x14ac:dyDescent="0.2">
      <c r="A181" s="90" t="s">
        <v>194</v>
      </c>
      <c r="B181" s="223">
        <v>0</v>
      </c>
      <c r="C181" s="232"/>
      <c r="D181" s="91">
        <f t="shared" ref="D181:J181" si="34">$B$181*$C$181*12*D149</f>
        <v>0</v>
      </c>
      <c r="E181" s="91">
        <f t="shared" si="34"/>
        <v>0</v>
      </c>
      <c r="F181" s="91">
        <f t="shared" si="34"/>
        <v>0</v>
      </c>
      <c r="G181" s="91">
        <f t="shared" si="34"/>
        <v>0</v>
      </c>
      <c r="H181" s="91">
        <f t="shared" si="34"/>
        <v>0</v>
      </c>
      <c r="I181" s="91">
        <f t="shared" si="34"/>
        <v>0</v>
      </c>
      <c r="J181" s="91">
        <f t="shared" si="34"/>
        <v>0</v>
      </c>
    </row>
    <row r="182" spans="1:10" x14ac:dyDescent="0.2">
      <c r="A182" s="90"/>
      <c r="B182" s="223"/>
      <c r="C182" s="232"/>
      <c r="D182" s="91"/>
      <c r="E182" s="91"/>
      <c r="F182" s="91"/>
      <c r="G182" s="91"/>
      <c r="H182" s="91"/>
      <c r="I182" s="91"/>
      <c r="J182" s="91"/>
    </row>
    <row r="183" spans="1:10" x14ac:dyDescent="0.2">
      <c r="A183" s="90"/>
      <c r="B183" s="223"/>
      <c r="C183" s="232"/>
      <c r="D183" s="91"/>
      <c r="E183" s="91"/>
      <c r="F183" s="91"/>
      <c r="G183" s="91"/>
      <c r="H183" s="91"/>
      <c r="I183" s="91"/>
      <c r="J183" s="91"/>
    </row>
    <row r="184" spans="1:10" x14ac:dyDescent="0.2">
      <c r="A184" s="90"/>
      <c r="B184" s="223"/>
      <c r="C184" s="232"/>
      <c r="D184" s="91"/>
      <c r="E184" s="91"/>
      <c r="F184" s="91"/>
      <c r="G184" s="91"/>
      <c r="H184" s="91"/>
      <c r="I184" s="91"/>
      <c r="J184" s="91"/>
    </row>
    <row r="185" spans="1:10" x14ac:dyDescent="0.2">
      <c r="A185" s="92" t="s">
        <v>312</v>
      </c>
      <c r="B185" s="92"/>
      <c r="C185" s="92"/>
      <c r="D185" s="110">
        <f>SUM(D180:D184)</f>
        <v>0</v>
      </c>
      <c r="E185" s="110">
        <f t="shared" ref="E185:J185" si="35">SUM(E180:E184)</f>
        <v>0</v>
      </c>
      <c r="F185" s="110">
        <f t="shared" si="35"/>
        <v>0</v>
      </c>
      <c r="G185" s="110">
        <f t="shared" si="35"/>
        <v>0</v>
      </c>
      <c r="H185" s="110">
        <f t="shared" si="35"/>
        <v>0</v>
      </c>
      <c r="I185" s="110">
        <f t="shared" si="35"/>
        <v>0</v>
      </c>
      <c r="J185" s="110">
        <f t="shared" si="35"/>
        <v>0</v>
      </c>
    </row>
    <row r="186" spans="1:10" x14ac:dyDescent="0.2">
      <c r="A186" s="190" t="s">
        <v>300</v>
      </c>
      <c r="B186" s="190"/>
      <c r="C186" s="190"/>
      <c r="D186" s="110">
        <f>D177+D185</f>
        <v>0</v>
      </c>
      <c r="E186" s="110">
        <f t="shared" ref="E186:J186" si="36">E177+E185</f>
        <v>0</v>
      </c>
      <c r="F186" s="110">
        <f t="shared" si="36"/>
        <v>0</v>
      </c>
      <c r="G186" s="110">
        <f t="shared" si="36"/>
        <v>0</v>
      </c>
      <c r="H186" s="110">
        <f t="shared" si="36"/>
        <v>0</v>
      </c>
      <c r="I186" s="110">
        <f t="shared" si="36"/>
        <v>0</v>
      </c>
      <c r="J186" s="110">
        <f t="shared" si="36"/>
        <v>0</v>
      </c>
    </row>
    <row r="187" spans="1:10" x14ac:dyDescent="0.2">
      <c r="A187" s="90"/>
      <c r="B187" s="90"/>
      <c r="C187" s="90"/>
      <c r="D187" s="91"/>
      <c r="E187" s="91"/>
      <c r="F187" s="91"/>
      <c r="G187" s="91"/>
      <c r="H187" s="91"/>
      <c r="I187" s="91"/>
      <c r="J187" s="91"/>
    </row>
    <row r="188" spans="1:10" x14ac:dyDescent="0.2">
      <c r="A188" s="92" t="s">
        <v>7</v>
      </c>
      <c r="B188" s="92"/>
      <c r="C188" s="92"/>
      <c r="D188" s="110">
        <f t="shared" ref="D188:J188" si="37">D159-D186</f>
        <v>0</v>
      </c>
      <c r="E188" s="110">
        <f t="shared" si="37"/>
        <v>0</v>
      </c>
      <c r="F188" s="110">
        <f t="shared" si="37"/>
        <v>0</v>
      </c>
      <c r="G188" s="110">
        <f t="shared" si="37"/>
        <v>0</v>
      </c>
      <c r="H188" s="110">
        <f t="shared" si="37"/>
        <v>0</v>
      </c>
      <c r="I188" s="110">
        <f t="shared" si="37"/>
        <v>0</v>
      </c>
      <c r="J188" s="110">
        <f t="shared" si="37"/>
        <v>0</v>
      </c>
    </row>
    <row r="189" spans="1:10" x14ac:dyDescent="0.2">
      <c r="A189" s="111"/>
      <c r="B189" s="111"/>
      <c r="C189" s="111"/>
      <c r="D189" s="89"/>
      <c r="E189" s="89"/>
      <c r="F189" s="89"/>
      <c r="G189" s="89"/>
      <c r="H189" s="89"/>
      <c r="I189" s="89"/>
      <c r="J189" s="89"/>
    </row>
    <row r="190" spans="1:10" x14ac:dyDescent="0.2">
      <c r="A190" s="89"/>
      <c r="B190" s="89"/>
      <c r="C190" s="89"/>
      <c r="D190" s="89"/>
      <c r="E190" s="89"/>
      <c r="F190" s="89"/>
      <c r="G190" s="89"/>
      <c r="H190" s="89"/>
      <c r="I190" s="89"/>
      <c r="J190" s="89"/>
    </row>
    <row r="191" spans="1:10" x14ac:dyDescent="0.2">
      <c r="A191" s="89"/>
      <c r="B191" s="89"/>
      <c r="C191" s="89"/>
      <c r="D191" s="89"/>
      <c r="E191" s="89"/>
      <c r="F191" s="89"/>
      <c r="G191" s="89"/>
      <c r="H191" s="89"/>
      <c r="I191" s="89"/>
      <c r="J191" s="89"/>
    </row>
    <row r="192" spans="1:10" x14ac:dyDescent="0.2">
      <c r="A192" s="452" t="s">
        <v>425</v>
      </c>
      <c r="B192" s="452"/>
      <c r="C192" s="452"/>
      <c r="D192" s="452"/>
      <c r="E192" s="452"/>
      <c r="F192" s="452"/>
      <c r="G192" s="452"/>
      <c r="H192" s="452"/>
      <c r="I192" s="452"/>
      <c r="J192" s="452"/>
    </row>
    <row r="194" spans="1:5" x14ac:dyDescent="0.2">
      <c r="A194" t="s">
        <v>538</v>
      </c>
    </row>
    <row r="195" spans="1:5" x14ac:dyDescent="0.2">
      <c r="A195">
        <v>1</v>
      </c>
      <c r="B195" t="s">
        <v>547</v>
      </c>
    </row>
    <row r="196" spans="1:5" x14ac:dyDescent="0.2">
      <c r="A196">
        <v>2</v>
      </c>
      <c r="B196" t="s">
        <v>548</v>
      </c>
      <c r="C196" s="62"/>
      <c r="D196" s="62"/>
      <c r="E196" s="62"/>
    </row>
    <row r="197" spans="1:5" x14ac:dyDescent="0.2">
      <c r="A197">
        <v>3</v>
      </c>
      <c r="B197" s="89" t="s">
        <v>599</v>
      </c>
    </row>
  </sheetData>
  <mergeCells count="4">
    <mergeCell ref="A3:H3"/>
    <mergeCell ref="A147:J147"/>
    <mergeCell ref="A192:J192"/>
    <mergeCell ref="A4:H4"/>
  </mergeCells>
  <pageMargins left="0.7" right="0.7" top="0.75" bottom="0.75" header="0.3" footer="0.3"/>
  <pageSetup paperSize="9" scale="47" orientation="portrait" r:id="rId1"/>
  <rowBreaks count="1" manualBreakCount="1">
    <brk id="94" max="9" man="1"/>
  </rowBreaks>
  <colBreaks count="1" manualBreakCount="1">
    <brk id="10" min="2" max="54" man="1"/>
  </col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
  <sheetViews>
    <sheetView workbookViewId="0">
      <selection activeCell="I29" sqref="I29"/>
    </sheetView>
  </sheetViews>
  <sheetFormatPr defaultRowHeight="15" x14ac:dyDescent="0.2"/>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J34"/>
  <sheetViews>
    <sheetView tabSelected="1" view="pageBreakPreview" zoomScale="120" zoomScaleNormal="130" zoomScaleSheetLayoutView="120" workbookViewId="0">
      <selection activeCell="I29" sqref="I29"/>
    </sheetView>
  </sheetViews>
  <sheetFormatPr defaultRowHeight="15" x14ac:dyDescent="0.2"/>
  <cols>
    <col min="2" max="2" width="7.53125" bestFit="1" customWidth="1"/>
    <col min="3" max="3" width="26.23046875" bestFit="1" customWidth="1"/>
    <col min="4" max="4" width="14.9296875" customWidth="1"/>
    <col min="5" max="5" width="16.0078125" customWidth="1"/>
    <col min="6" max="6" width="17.890625" customWidth="1"/>
    <col min="7" max="7" width="15.6015625" bestFit="1" customWidth="1"/>
    <col min="8" max="8" width="12.64453125" bestFit="1" customWidth="1"/>
    <col min="9" max="9" width="15.6015625" bestFit="1" customWidth="1"/>
    <col min="10" max="10" width="12.10546875" bestFit="1" customWidth="1"/>
  </cols>
  <sheetData>
    <row r="2" spans="1:10" ht="18" x14ac:dyDescent="0.2">
      <c r="B2" s="451" t="s">
        <v>551</v>
      </c>
      <c r="C2" s="451"/>
      <c r="D2" s="451"/>
      <c r="E2" s="451"/>
      <c r="F2" s="451"/>
      <c r="H2" t="s">
        <v>690</v>
      </c>
    </row>
    <row r="4" spans="1:10" x14ac:dyDescent="0.2">
      <c r="B4" s="312" t="s">
        <v>145</v>
      </c>
      <c r="C4" s="312" t="s">
        <v>127</v>
      </c>
      <c r="D4" s="312" t="s">
        <v>159</v>
      </c>
      <c r="E4" s="317" t="s">
        <v>463</v>
      </c>
      <c r="F4" s="317" t="s">
        <v>464</v>
      </c>
    </row>
    <row r="5" spans="1:10" x14ac:dyDescent="0.2">
      <c r="B5" s="313">
        <v>1</v>
      </c>
      <c r="C5" s="314" t="str">
        <f>'2.Capex Details'!B2</f>
        <v>Land and Building</v>
      </c>
      <c r="D5" s="318">
        <f>'2.Capex Details'!G12</f>
        <v>18391001.060000002</v>
      </c>
      <c r="E5" s="319">
        <v>0.6</v>
      </c>
      <c r="F5" s="320">
        <f>D5*E5</f>
        <v>11034600.636000002</v>
      </c>
    </row>
    <row r="6" spans="1:10" x14ac:dyDescent="0.2">
      <c r="B6" s="313">
        <v>2</v>
      </c>
      <c r="C6" s="314" t="str">
        <f>'2.Capex Details'!B17</f>
        <v>Machinery and Equipment</v>
      </c>
      <c r="D6" s="318">
        <f>'2.Capex Details'!G78</f>
        <v>5999250</v>
      </c>
      <c r="E6" s="319">
        <v>0.6</v>
      </c>
      <c r="F6" s="320">
        <f>D6*E6</f>
        <v>3599550</v>
      </c>
    </row>
    <row r="7" spans="1:10" x14ac:dyDescent="0.2">
      <c r="B7" s="313">
        <v>3</v>
      </c>
      <c r="C7" s="314" t="str">
        <f>'2.Capex Details'!B84</f>
        <v>Office Furniture</v>
      </c>
      <c r="D7" s="318">
        <f>'2.Capex Details'!F93</f>
        <v>0</v>
      </c>
      <c r="E7" s="319">
        <v>0.6</v>
      </c>
      <c r="F7" s="320">
        <f>D7*E7</f>
        <v>0</v>
      </c>
    </row>
    <row r="8" spans="1:10" x14ac:dyDescent="0.2">
      <c r="B8" s="313">
        <v>4</v>
      </c>
      <c r="C8" s="314" t="str">
        <f>'2.Capex Details'!B98</f>
        <v>IT &amp; It Infrastracture</v>
      </c>
      <c r="D8" s="318">
        <f>'2.Capex Details'!F112</f>
        <v>171340</v>
      </c>
      <c r="E8" s="319">
        <v>0.6</v>
      </c>
      <c r="F8" s="320">
        <f>D8*E8</f>
        <v>102804</v>
      </c>
    </row>
    <row r="9" spans="1:10" ht="24" x14ac:dyDescent="0.2">
      <c r="B9" s="313">
        <v>5</v>
      </c>
      <c r="C9" s="314" t="str">
        <f>'2.Capex Details'!B117</f>
        <v>Transport vehical  (Refer van and other)</v>
      </c>
      <c r="D9" s="318">
        <f>'2.Capex Details'!F123</f>
        <v>0</v>
      </c>
      <c r="E9" s="319">
        <v>0.6</v>
      </c>
      <c r="F9" s="320">
        <f t="shared" ref="F9" si="0">D9*E9</f>
        <v>0</v>
      </c>
    </row>
    <row r="10" spans="1:10" x14ac:dyDescent="0.2">
      <c r="B10" s="313">
        <v>6</v>
      </c>
      <c r="C10" s="314" t="str">
        <f>'2.Capex Details'!B127</f>
        <v>Preliminary Expenses</v>
      </c>
      <c r="D10" s="318">
        <f>'2.Capex Details'!D135</f>
        <v>975850</v>
      </c>
      <c r="E10" s="319">
        <v>0.6</v>
      </c>
      <c r="F10" s="320">
        <f>D10*E10</f>
        <v>585510</v>
      </c>
      <c r="H10" s="62"/>
      <c r="I10" s="360"/>
    </row>
    <row r="11" spans="1:10" x14ac:dyDescent="0.2">
      <c r="B11" s="313">
        <v>7</v>
      </c>
      <c r="C11" s="314" t="s">
        <v>766</v>
      </c>
      <c r="D11" s="318">
        <f>'5.Closing Stock &amp; W Capital'!E55</f>
        <v>1688429.3570191916</v>
      </c>
      <c r="E11" s="321">
        <v>0</v>
      </c>
      <c r="F11" s="321">
        <f>D11*E11</f>
        <v>0</v>
      </c>
    </row>
    <row r="12" spans="1:10" x14ac:dyDescent="0.2">
      <c r="B12" s="450" t="s">
        <v>1</v>
      </c>
      <c r="C12" s="450"/>
      <c r="D12" s="322">
        <f>SUM(D5:D11)</f>
        <v>27225870.417019196</v>
      </c>
      <c r="E12" s="321"/>
      <c r="F12" s="322">
        <f>SUM(F5:F11)</f>
        <v>15322464.636000002</v>
      </c>
    </row>
    <row r="13" spans="1:10" x14ac:dyDescent="0.2">
      <c r="C13" t="s">
        <v>767</v>
      </c>
      <c r="D13" s="21"/>
    </row>
    <row r="14" spans="1:10" x14ac:dyDescent="0.2">
      <c r="D14" s="21"/>
    </row>
    <row r="15" spans="1:10" ht="25.5" customHeight="1" x14ac:dyDescent="0.2">
      <c r="A15" s="453" t="s">
        <v>418</v>
      </c>
      <c r="B15" s="453"/>
      <c r="C15" s="453"/>
      <c r="D15" s="453"/>
      <c r="E15" s="453"/>
      <c r="F15" s="453"/>
      <c r="I15" s="62"/>
    </row>
    <row r="16" spans="1:10" x14ac:dyDescent="0.2">
      <c r="G16" s="62"/>
      <c r="J16" s="62"/>
    </row>
    <row r="17" spans="2:8" ht="18" x14ac:dyDescent="0.2">
      <c r="B17" s="451" t="s">
        <v>552</v>
      </c>
      <c r="C17" s="451"/>
      <c r="D17" s="451"/>
      <c r="E17" s="451"/>
      <c r="F17" s="451"/>
      <c r="G17" s="62"/>
    </row>
    <row r="18" spans="2:8" x14ac:dyDescent="0.2">
      <c r="G18" s="62"/>
    </row>
    <row r="19" spans="2:8" x14ac:dyDescent="0.2">
      <c r="B19" s="311" t="s">
        <v>145</v>
      </c>
      <c r="C19" s="312" t="s">
        <v>127</v>
      </c>
      <c r="D19" s="312" t="s">
        <v>646</v>
      </c>
      <c r="E19" s="312" t="s">
        <v>159</v>
      </c>
    </row>
    <row r="20" spans="2:8" x14ac:dyDescent="0.2">
      <c r="B20" s="313">
        <v>1</v>
      </c>
      <c r="C20" s="314" t="s">
        <v>336</v>
      </c>
      <c r="D20" s="352">
        <v>0.6</v>
      </c>
      <c r="E20" s="315">
        <f>MIN(F12,20000000)</f>
        <v>15322464.636000002</v>
      </c>
    </row>
    <row r="21" spans="2:8" x14ac:dyDescent="0.2">
      <c r="B21" s="313">
        <v>2</v>
      </c>
      <c r="C21" s="314" t="s">
        <v>158</v>
      </c>
      <c r="D21" s="346">
        <v>0.3</v>
      </c>
      <c r="E21" s="315">
        <f>SUM(D5:D10)*D21</f>
        <v>7661232.318</v>
      </c>
      <c r="F21" s="62"/>
      <c r="G21" s="360"/>
      <c r="H21" s="360"/>
    </row>
    <row r="22" spans="2:8" x14ac:dyDescent="0.2">
      <c r="B22" s="313">
        <v>3</v>
      </c>
      <c r="C22" s="314" t="s">
        <v>134</v>
      </c>
      <c r="D22" s="425"/>
      <c r="E22" s="315">
        <f>D12-E20-E21</f>
        <v>4242173.4630191941</v>
      </c>
      <c r="G22" s="360"/>
      <c r="H22" s="360">
        <f>'11.F&amp;V Crop Production details'!H83</f>
        <v>0</v>
      </c>
    </row>
    <row r="23" spans="2:8" x14ac:dyDescent="0.2">
      <c r="B23" s="450" t="s">
        <v>1</v>
      </c>
      <c r="C23" s="450"/>
      <c r="D23" s="316"/>
      <c r="E23" s="316">
        <f>SUM(E20:E22)</f>
        <v>27225870.417019196</v>
      </c>
      <c r="G23" s="360"/>
      <c r="H23" s="360"/>
    </row>
    <row r="24" spans="2:8" x14ac:dyDescent="0.2">
      <c r="C24" s="428" t="s">
        <v>765</v>
      </c>
    </row>
    <row r="25" spans="2:8" x14ac:dyDescent="0.2">
      <c r="B25" s="452" t="s">
        <v>419</v>
      </c>
      <c r="C25" s="452"/>
      <c r="D25" s="452"/>
      <c r="E25" s="452"/>
      <c r="F25" s="452"/>
    </row>
    <row r="27" spans="2:8" ht="18" x14ac:dyDescent="0.2">
      <c r="B27" s="449" t="s">
        <v>553</v>
      </c>
      <c r="C27" s="449"/>
      <c r="D27" s="449"/>
      <c r="E27" s="449"/>
      <c r="F27" s="449"/>
    </row>
    <row r="28" spans="2:8" x14ac:dyDescent="0.2">
      <c r="B28" s="323" t="s">
        <v>145</v>
      </c>
      <c r="C28" s="324" t="s">
        <v>602</v>
      </c>
      <c r="D28" s="325" t="s">
        <v>603</v>
      </c>
      <c r="E28" s="326" t="s">
        <v>604</v>
      </c>
      <c r="F28" s="447" t="s">
        <v>605</v>
      </c>
      <c r="G28" s="448"/>
    </row>
    <row r="29" spans="2:8" ht="24" x14ac:dyDescent="0.2">
      <c r="B29" s="327">
        <v>1</v>
      </c>
      <c r="C29" s="314" t="s">
        <v>377</v>
      </c>
      <c r="D29" s="328">
        <f>'9. Financial indiacators'!C49</f>
        <v>0.49402753439493746</v>
      </c>
      <c r="E29" s="327" t="s">
        <v>378</v>
      </c>
      <c r="F29" s="334" t="s">
        <v>606</v>
      </c>
      <c r="G29" s="327" t="s">
        <v>379</v>
      </c>
    </row>
    <row r="30" spans="2:8" ht="24" x14ac:dyDescent="0.2">
      <c r="B30" s="327">
        <v>2</v>
      </c>
      <c r="C30" s="314" t="s">
        <v>380</v>
      </c>
      <c r="D30" s="329">
        <f>'9. Financial indiacators'!C85</f>
        <v>0.16421878645686902</v>
      </c>
      <c r="E30" s="327" t="s">
        <v>378</v>
      </c>
      <c r="F30" s="334" t="s">
        <v>607</v>
      </c>
      <c r="G30" s="327" t="s">
        <v>381</v>
      </c>
    </row>
    <row r="31" spans="2:8" ht="34.5" x14ac:dyDescent="0.2">
      <c r="B31" s="327">
        <v>3</v>
      </c>
      <c r="C31" s="314" t="s">
        <v>382</v>
      </c>
      <c r="D31" s="328">
        <f>'9. Financial indiacators'!C16</f>
        <v>0.10514239751236754</v>
      </c>
      <c r="E31" s="327" t="s">
        <v>378</v>
      </c>
      <c r="F31" s="334" t="s">
        <v>608</v>
      </c>
      <c r="G31" s="327" t="s">
        <v>383</v>
      </c>
    </row>
    <row r="32" spans="2:8" ht="45.75" x14ac:dyDescent="0.2">
      <c r="B32" s="327">
        <v>4</v>
      </c>
      <c r="C32" s="314" t="s">
        <v>384</v>
      </c>
      <c r="D32" s="330">
        <f>'9. Financial indiacators'!C73</f>
        <v>2591052.4003729112</v>
      </c>
      <c r="E32" s="327" t="s">
        <v>388</v>
      </c>
      <c r="F32" s="334" t="s">
        <v>609</v>
      </c>
      <c r="G32" s="327" t="s">
        <v>385</v>
      </c>
    </row>
    <row r="33" spans="2:7" ht="34.5" x14ac:dyDescent="0.2">
      <c r="B33" s="327">
        <v>5</v>
      </c>
      <c r="C33" s="314" t="s">
        <v>386</v>
      </c>
      <c r="D33" s="331">
        <f>'9. Financial indiacators'!D101</f>
        <v>3.8768254563243296</v>
      </c>
      <c r="E33" s="327" t="s">
        <v>378</v>
      </c>
      <c r="F33" s="334" t="s">
        <v>610</v>
      </c>
      <c r="G33" s="327" t="s">
        <v>389</v>
      </c>
    </row>
    <row r="34" spans="2:7" ht="34.5" x14ac:dyDescent="0.2">
      <c r="B34" s="327">
        <v>6</v>
      </c>
      <c r="C34" s="332" t="s">
        <v>387</v>
      </c>
      <c r="D34" s="331">
        <f>'9. Financial indiacators'!C119</f>
        <v>2.4760505636722678</v>
      </c>
      <c r="E34" s="333" t="s">
        <v>378</v>
      </c>
      <c r="F34" s="334" t="s">
        <v>611</v>
      </c>
      <c r="G34" s="332" t="s">
        <v>390</v>
      </c>
    </row>
  </sheetData>
  <mergeCells count="8">
    <mergeCell ref="F28:G28"/>
    <mergeCell ref="B27:F27"/>
    <mergeCell ref="B12:C12"/>
    <mergeCell ref="B23:C23"/>
    <mergeCell ref="B2:F2"/>
    <mergeCell ref="B17:F17"/>
    <mergeCell ref="B25:F25"/>
    <mergeCell ref="A15:F15"/>
  </mergeCells>
  <conditionalFormatting sqref="D24">
    <cfRule type="cellIs" dxfId="3" priority="1" operator="greaterThan">
      <formula>0</formula>
    </cfRule>
  </conditionalFormatting>
  <pageMargins left="0.7" right="0.7" top="0.75" bottom="0.75" header="0.3" footer="0.3"/>
  <pageSetup scale="110" orientation="landscape" r:id="rId1"/>
  <rowBreaks count="1" manualBreakCount="1">
    <brk id="26" max="6"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
  <sheetViews>
    <sheetView workbookViewId="0">
      <selection activeCell="I29" sqref="I29"/>
    </sheetView>
  </sheetViews>
  <sheetFormatPr defaultRowHeight="15" x14ac:dyDescent="0.2"/>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O143"/>
  <sheetViews>
    <sheetView view="pageBreakPreview" topLeftCell="A91" zoomScale="80" zoomScaleSheetLayoutView="80" workbookViewId="0">
      <selection activeCell="I29" sqref="I29"/>
    </sheetView>
  </sheetViews>
  <sheetFormatPr defaultRowHeight="15" x14ac:dyDescent="0.2"/>
  <cols>
    <col min="2" max="2" width="7.53125" bestFit="1" customWidth="1"/>
    <col min="3" max="3" width="41.56640625" customWidth="1"/>
    <col min="4" max="4" width="11.97265625" bestFit="1" customWidth="1"/>
    <col min="5" max="5" width="16.94921875" customWidth="1"/>
    <col min="6" max="6" width="13.98828125" bestFit="1" customWidth="1"/>
    <col min="7" max="7" width="13.1796875" bestFit="1" customWidth="1"/>
    <col min="8" max="8" width="12.10546875" bestFit="1" customWidth="1"/>
    <col min="10" max="10" width="12.10546875" bestFit="1" customWidth="1"/>
    <col min="12" max="12" width="12.9140625" bestFit="1" customWidth="1"/>
    <col min="13" max="13" width="13.85546875" bestFit="1" customWidth="1"/>
  </cols>
  <sheetData>
    <row r="2" spans="1:7" ht="18" x14ac:dyDescent="0.2">
      <c r="A2">
        <v>2.1</v>
      </c>
      <c r="B2" s="451" t="s">
        <v>155</v>
      </c>
      <c r="C2" s="451"/>
      <c r="D2" s="451"/>
      <c r="E2" s="451"/>
      <c r="F2" s="451"/>
      <c r="G2" s="451"/>
    </row>
    <row r="4" spans="1:7" x14ac:dyDescent="0.2">
      <c r="B4" s="208" t="s">
        <v>145</v>
      </c>
      <c r="C4" s="208" t="s">
        <v>127</v>
      </c>
      <c r="D4" s="208" t="s">
        <v>132</v>
      </c>
      <c r="E4" s="208" t="s">
        <v>146</v>
      </c>
      <c r="F4" s="208" t="s">
        <v>147</v>
      </c>
      <c r="G4" s="208" t="s">
        <v>159</v>
      </c>
    </row>
    <row r="5" spans="1:7" x14ac:dyDescent="0.2">
      <c r="B5" s="369">
        <v>1</v>
      </c>
      <c r="C5" s="369" t="s">
        <v>148</v>
      </c>
      <c r="D5" s="369" t="s">
        <v>149</v>
      </c>
      <c r="E5" s="335"/>
      <c r="F5" s="336"/>
      <c r="G5" s="337" t="s">
        <v>150</v>
      </c>
    </row>
    <row r="6" spans="1:7" x14ac:dyDescent="0.2">
      <c r="B6" s="369">
        <v>2</v>
      </c>
      <c r="C6" s="369" t="s">
        <v>735</v>
      </c>
      <c r="D6" s="370"/>
      <c r="E6" s="371">
        <v>1</v>
      </c>
      <c r="F6" s="372">
        <v>8507452.0600000005</v>
      </c>
      <c r="G6" s="373">
        <f>E6*F6</f>
        <v>8507452.0600000005</v>
      </c>
    </row>
    <row r="7" spans="1:7" x14ac:dyDescent="0.2">
      <c r="B7" s="369">
        <v>3</v>
      </c>
      <c r="C7" s="369" t="s">
        <v>302</v>
      </c>
      <c r="D7" s="370"/>
      <c r="E7" s="371">
        <v>1</v>
      </c>
      <c r="F7" s="372">
        <v>9883549</v>
      </c>
      <c r="G7" s="373">
        <f>E7*F7</f>
        <v>9883549</v>
      </c>
    </row>
    <row r="8" spans="1:7" x14ac:dyDescent="0.2">
      <c r="B8" s="369"/>
      <c r="C8" s="369"/>
      <c r="D8" s="370"/>
      <c r="E8" s="371"/>
      <c r="F8" s="372"/>
      <c r="G8" s="373">
        <f t="shared" ref="G8:G11" si="0">E8*F8</f>
        <v>0</v>
      </c>
    </row>
    <row r="9" spans="1:7" x14ac:dyDescent="0.2">
      <c r="B9" s="369"/>
      <c r="C9" s="369"/>
      <c r="D9" s="370"/>
      <c r="E9" s="371"/>
      <c r="F9" s="372"/>
      <c r="G9" s="373">
        <f t="shared" si="0"/>
        <v>0</v>
      </c>
    </row>
    <row r="10" spans="1:7" x14ac:dyDescent="0.2">
      <c r="B10" s="369"/>
      <c r="C10" s="369"/>
      <c r="D10" s="370"/>
      <c r="E10" s="371"/>
      <c r="F10" s="372"/>
      <c r="G10" s="373">
        <f t="shared" si="0"/>
        <v>0</v>
      </c>
    </row>
    <row r="11" spans="1:7" x14ac:dyDescent="0.2">
      <c r="B11" s="369"/>
      <c r="C11" s="369"/>
      <c r="D11" s="370"/>
      <c r="E11" s="371"/>
      <c r="F11" s="372"/>
      <c r="G11" s="373">
        <f t="shared" si="0"/>
        <v>0</v>
      </c>
    </row>
    <row r="12" spans="1:7" x14ac:dyDescent="0.2">
      <c r="B12" s="454" t="s">
        <v>1</v>
      </c>
      <c r="C12" s="454"/>
      <c r="D12" s="454"/>
      <c r="E12" s="454"/>
      <c r="F12" s="454"/>
      <c r="G12" s="222">
        <f>SUM(G6:G11)</f>
        <v>18391001.060000002</v>
      </c>
    </row>
    <row r="15" spans="1:7" x14ac:dyDescent="0.2">
      <c r="B15" s="452" t="s">
        <v>414</v>
      </c>
      <c r="C15" s="452"/>
      <c r="D15" s="452"/>
      <c r="E15" s="452"/>
      <c r="F15" s="452"/>
      <c r="G15" s="452"/>
    </row>
    <row r="17" spans="1:8" ht="18" x14ac:dyDescent="0.2">
      <c r="A17">
        <v>2.2000000000000002</v>
      </c>
      <c r="B17" s="451" t="s">
        <v>156</v>
      </c>
      <c r="C17" s="451"/>
      <c r="D17" s="451"/>
      <c r="E17" s="451"/>
      <c r="F17" s="451"/>
      <c r="G17" s="451"/>
      <c r="H17" s="451"/>
    </row>
    <row r="18" spans="1:8" x14ac:dyDescent="0.2">
      <c r="B18" s="18"/>
    </row>
    <row r="19" spans="1:8" x14ac:dyDescent="0.2">
      <c r="B19" s="288" t="s">
        <v>145</v>
      </c>
      <c r="C19" s="288" t="s">
        <v>151</v>
      </c>
      <c r="D19" s="288" t="s">
        <v>162</v>
      </c>
      <c r="E19" s="288" t="s">
        <v>152</v>
      </c>
      <c r="F19" s="288" t="s">
        <v>153</v>
      </c>
      <c r="G19" s="288" t="s">
        <v>159</v>
      </c>
      <c r="H19" s="288" t="s">
        <v>154</v>
      </c>
    </row>
    <row r="20" spans="1:8" x14ac:dyDescent="0.2">
      <c r="B20" s="366"/>
      <c r="C20" s="94"/>
      <c r="D20" s="94"/>
      <c r="E20" s="94"/>
      <c r="F20" s="94"/>
      <c r="G20" s="367"/>
      <c r="H20" s="94"/>
    </row>
    <row r="21" spans="1:8" x14ac:dyDescent="0.2">
      <c r="B21" s="368" t="s">
        <v>174</v>
      </c>
      <c r="C21" s="215" t="s">
        <v>365</v>
      </c>
      <c r="D21" s="215"/>
      <c r="E21" s="368"/>
      <c r="F21" s="218"/>
      <c r="G21" s="367">
        <f t="shared" ref="G21:G31" si="1">E21*F21</f>
        <v>0</v>
      </c>
      <c r="H21" s="96"/>
    </row>
    <row r="22" spans="1:8" x14ac:dyDescent="0.2">
      <c r="B22" s="368"/>
      <c r="C22" s="369"/>
      <c r="D22" s="215"/>
      <c r="E22" s="368"/>
      <c r="F22" s="218"/>
      <c r="G22" s="367">
        <f t="shared" si="1"/>
        <v>0</v>
      </c>
      <c r="H22" s="96">
        <f>'11.F&amp;V Crop Production details'!H83</f>
        <v>0</v>
      </c>
    </row>
    <row r="23" spans="1:8" x14ac:dyDescent="0.2">
      <c r="B23" s="368"/>
      <c r="C23" s="369"/>
      <c r="D23" s="215"/>
      <c r="E23" s="368"/>
      <c r="F23" s="218"/>
      <c r="G23" s="367">
        <f t="shared" si="1"/>
        <v>0</v>
      </c>
      <c r="H23" s="96"/>
    </row>
    <row r="24" spans="1:8" x14ac:dyDescent="0.2">
      <c r="B24" s="368"/>
      <c r="C24" s="369"/>
      <c r="D24" s="215"/>
      <c r="E24" s="368"/>
      <c r="F24" s="218"/>
      <c r="G24" s="367">
        <f t="shared" si="1"/>
        <v>0</v>
      </c>
      <c r="H24" s="96"/>
    </row>
    <row r="25" spans="1:8" x14ac:dyDescent="0.2">
      <c r="B25" s="368"/>
      <c r="C25" s="369"/>
      <c r="D25" s="215"/>
      <c r="E25" s="368"/>
      <c r="F25" s="218"/>
      <c r="G25" s="367">
        <f t="shared" si="1"/>
        <v>0</v>
      </c>
      <c r="H25" s="96"/>
    </row>
    <row r="26" spans="1:8" x14ac:dyDescent="0.2">
      <c r="B26" s="368"/>
      <c r="C26" s="369"/>
      <c r="D26" s="215"/>
      <c r="E26" s="368"/>
      <c r="F26" s="218"/>
      <c r="G26" s="367">
        <f t="shared" si="1"/>
        <v>0</v>
      </c>
      <c r="H26" s="96"/>
    </row>
    <row r="27" spans="1:8" x14ac:dyDescent="0.2">
      <c r="B27" s="368"/>
      <c r="C27" s="217"/>
      <c r="D27" s="215"/>
      <c r="E27" s="368"/>
      <c r="F27" s="218"/>
      <c r="G27" s="367">
        <f t="shared" si="1"/>
        <v>0</v>
      </c>
      <c r="H27" s="96"/>
    </row>
    <row r="28" spans="1:8" x14ac:dyDescent="0.2">
      <c r="B28" s="368"/>
      <c r="C28" s="217"/>
      <c r="D28" s="215"/>
      <c r="E28" s="368"/>
      <c r="F28" s="218"/>
      <c r="G28" s="367">
        <f t="shared" si="1"/>
        <v>0</v>
      </c>
      <c r="H28" s="96"/>
    </row>
    <row r="29" spans="1:8" x14ac:dyDescent="0.2">
      <c r="B29" s="368"/>
      <c r="C29" s="217"/>
      <c r="D29" s="215"/>
      <c r="E29" s="368"/>
      <c r="F29" s="218"/>
      <c r="G29" s="367">
        <f>E29*F29</f>
        <v>0</v>
      </c>
      <c r="H29" s="96"/>
    </row>
    <row r="30" spans="1:8" x14ac:dyDescent="0.2">
      <c r="B30" s="368"/>
      <c r="C30" s="215"/>
      <c r="D30" s="368"/>
      <c r="E30" s="368"/>
      <c r="F30" s="218"/>
      <c r="G30" s="367">
        <f t="shared" si="1"/>
        <v>0</v>
      </c>
      <c r="H30" s="96"/>
    </row>
    <row r="31" spans="1:8" x14ac:dyDescent="0.2">
      <c r="B31" s="368"/>
      <c r="C31" s="215"/>
      <c r="D31" s="368"/>
      <c r="E31" s="368"/>
      <c r="F31" s="218"/>
      <c r="G31" s="367">
        <f t="shared" si="1"/>
        <v>0</v>
      </c>
      <c r="H31" s="96"/>
    </row>
    <row r="32" spans="1:8" x14ac:dyDescent="0.2">
      <c r="B32" s="456" t="s">
        <v>172</v>
      </c>
      <c r="C32" s="456"/>
      <c r="D32" s="368"/>
      <c r="E32" s="368"/>
      <c r="F32" s="221"/>
      <c r="G32" s="221">
        <f>SUM(G21:G31)</f>
        <v>0</v>
      </c>
      <c r="H32" s="367">
        <f>SUM(H21:H31)</f>
        <v>0</v>
      </c>
    </row>
    <row r="33" spans="2:12" x14ac:dyDescent="0.2">
      <c r="B33" s="368" t="s">
        <v>175</v>
      </c>
      <c r="C33" s="215" t="s">
        <v>295</v>
      </c>
      <c r="D33" s="366"/>
      <c r="E33" s="366"/>
      <c r="F33" s="367"/>
      <c r="G33" s="367"/>
      <c r="H33" s="94"/>
    </row>
    <row r="34" spans="2:12" x14ac:dyDescent="0.2">
      <c r="B34" s="413"/>
      <c r="C34" s="215"/>
      <c r="D34" s="366"/>
      <c r="E34" s="366"/>
      <c r="F34" s="367"/>
      <c r="G34" s="367"/>
      <c r="H34" s="94"/>
    </row>
    <row r="35" spans="2:12" x14ac:dyDescent="0.2">
      <c r="B35" s="366">
        <v>1</v>
      </c>
      <c r="C35" s="217" t="s">
        <v>738</v>
      </c>
      <c r="D35" s="217"/>
      <c r="E35" s="366">
        <v>4</v>
      </c>
      <c r="F35" s="367">
        <v>152250</v>
      </c>
      <c r="G35" s="367">
        <f>E35*F35</f>
        <v>609000</v>
      </c>
      <c r="H35" s="94"/>
      <c r="J35">
        <v>145000</v>
      </c>
      <c r="K35">
        <f>J35*5%</f>
        <v>7250</v>
      </c>
      <c r="L35">
        <f>J35+K35</f>
        <v>152250</v>
      </c>
    </row>
    <row r="36" spans="2:12" x14ac:dyDescent="0.2">
      <c r="B36" s="366">
        <v>2</v>
      </c>
      <c r="C36" s="217" t="s">
        <v>739</v>
      </c>
      <c r="D36" s="217"/>
      <c r="E36" s="366">
        <v>9</v>
      </c>
      <c r="F36" s="367">
        <v>63000</v>
      </c>
      <c r="G36" s="367">
        <f t="shared" ref="G36:G39" si="2">E36*F36</f>
        <v>567000</v>
      </c>
      <c r="H36" s="94"/>
      <c r="J36">
        <v>60000</v>
      </c>
      <c r="K36">
        <f t="shared" ref="K36:K51" si="3">J36*5%</f>
        <v>3000</v>
      </c>
      <c r="L36">
        <f t="shared" ref="L36:L51" si="4">J36+K36</f>
        <v>63000</v>
      </c>
    </row>
    <row r="37" spans="2:12" x14ac:dyDescent="0.2">
      <c r="B37" s="366">
        <v>3</v>
      </c>
      <c r="C37" s="217" t="s">
        <v>740</v>
      </c>
      <c r="D37" s="217"/>
      <c r="E37" s="366">
        <v>2</v>
      </c>
      <c r="F37" s="367">
        <v>99750</v>
      </c>
      <c r="G37" s="367">
        <f t="shared" si="2"/>
        <v>199500</v>
      </c>
      <c r="H37" s="94"/>
      <c r="J37">
        <v>95000</v>
      </c>
      <c r="K37">
        <f t="shared" si="3"/>
        <v>4750</v>
      </c>
      <c r="L37">
        <f t="shared" si="4"/>
        <v>99750</v>
      </c>
    </row>
    <row r="38" spans="2:12" x14ac:dyDescent="0.2">
      <c r="B38" s="366">
        <v>4</v>
      </c>
      <c r="C38" s="217" t="s">
        <v>741</v>
      </c>
      <c r="D38" s="217"/>
      <c r="E38" s="366">
        <v>2</v>
      </c>
      <c r="F38" s="367">
        <v>42000</v>
      </c>
      <c r="G38" s="367">
        <f t="shared" si="2"/>
        <v>84000</v>
      </c>
      <c r="H38" s="94"/>
      <c r="J38">
        <v>40000</v>
      </c>
      <c r="K38">
        <f t="shared" si="3"/>
        <v>2000</v>
      </c>
      <c r="L38">
        <f t="shared" si="4"/>
        <v>42000</v>
      </c>
    </row>
    <row r="39" spans="2:12" x14ac:dyDescent="0.2">
      <c r="B39" s="366">
        <v>5</v>
      </c>
      <c r="C39" s="217" t="s">
        <v>742</v>
      </c>
      <c r="D39" s="217"/>
      <c r="E39" s="366">
        <v>2</v>
      </c>
      <c r="F39" s="367">
        <v>99750</v>
      </c>
      <c r="G39" s="367">
        <f t="shared" si="2"/>
        <v>199500</v>
      </c>
      <c r="H39" s="94"/>
      <c r="J39">
        <v>95000</v>
      </c>
      <c r="K39">
        <f t="shared" si="3"/>
        <v>4750</v>
      </c>
      <c r="L39">
        <f t="shared" si="4"/>
        <v>99750</v>
      </c>
    </row>
    <row r="40" spans="2:12" x14ac:dyDescent="0.2">
      <c r="B40" s="366">
        <v>6</v>
      </c>
      <c r="C40" s="217" t="s">
        <v>743</v>
      </c>
      <c r="D40" s="366"/>
      <c r="E40" s="366">
        <v>1</v>
      </c>
      <c r="F40" s="367">
        <v>372750</v>
      </c>
      <c r="G40" s="367">
        <f t="shared" ref="G40:G44" si="5">E40*F40</f>
        <v>372750</v>
      </c>
      <c r="H40" s="94"/>
      <c r="J40">
        <v>355000</v>
      </c>
      <c r="K40">
        <f t="shared" si="3"/>
        <v>17750</v>
      </c>
      <c r="L40">
        <f t="shared" si="4"/>
        <v>372750</v>
      </c>
    </row>
    <row r="41" spans="2:12" x14ac:dyDescent="0.2">
      <c r="B41" s="366">
        <v>7</v>
      </c>
      <c r="C41" s="217" t="s">
        <v>744</v>
      </c>
      <c r="D41" s="366"/>
      <c r="E41" s="366">
        <v>5</v>
      </c>
      <c r="F41" s="367">
        <v>47250</v>
      </c>
      <c r="G41" s="367">
        <f t="shared" si="5"/>
        <v>236250</v>
      </c>
      <c r="H41" s="94"/>
      <c r="J41">
        <v>45000</v>
      </c>
      <c r="K41">
        <f t="shared" si="3"/>
        <v>2250</v>
      </c>
      <c r="L41">
        <f t="shared" si="4"/>
        <v>47250</v>
      </c>
    </row>
    <row r="42" spans="2:12" x14ac:dyDescent="0.2">
      <c r="B42" s="366">
        <v>8</v>
      </c>
      <c r="C42" s="217" t="s">
        <v>745</v>
      </c>
      <c r="D42" s="366"/>
      <c r="E42" s="366">
        <v>1</v>
      </c>
      <c r="F42" s="367">
        <v>42000</v>
      </c>
      <c r="G42" s="367">
        <f t="shared" si="5"/>
        <v>42000</v>
      </c>
      <c r="H42" s="94"/>
      <c r="J42">
        <v>40000</v>
      </c>
      <c r="K42">
        <f t="shared" si="3"/>
        <v>2000</v>
      </c>
      <c r="L42">
        <f t="shared" si="4"/>
        <v>42000</v>
      </c>
    </row>
    <row r="43" spans="2:12" x14ac:dyDescent="0.2">
      <c r="B43" s="366">
        <v>9</v>
      </c>
      <c r="C43" s="217" t="s">
        <v>746</v>
      </c>
      <c r="D43" s="366"/>
      <c r="E43" s="366">
        <v>1</v>
      </c>
      <c r="F43" s="367">
        <v>168000</v>
      </c>
      <c r="G43" s="367">
        <f t="shared" si="5"/>
        <v>168000</v>
      </c>
      <c r="H43" s="94"/>
      <c r="J43">
        <v>160000</v>
      </c>
      <c r="K43">
        <f t="shared" si="3"/>
        <v>8000</v>
      </c>
      <c r="L43">
        <f t="shared" si="4"/>
        <v>168000</v>
      </c>
    </row>
    <row r="44" spans="2:12" x14ac:dyDescent="0.2">
      <c r="B44" s="366">
        <v>10</v>
      </c>
      <c r="C44" s="217" t="s">
        <v>747</v>
      </c>
      <c r="D44" s="366"/>
      <c r="E44" s="366">
        <v>1</v>
      </c>
      <c r="F44" s="367">
        <v>63000</v>
      </c>
      <c r="G44" s="367">
        <f t="shared" si="5"/>
        <v>63000</v>
      </c>
      <c r="H44" s="94"/>
      <c r="J44">
        <v>60000</v>
      </c>
      <c r="K44">
        <f t="shared" si="3"/>
        <v>3000</v>
      </c>
      <c r="L44">
        <f t="shared" si="4"/>
        <v>63000</v>
      </c>
    </row>
    <row r="45" spans="2:12" x14ac:dyDescent="0.2">
      <c r="B45" s="366">
        <v>11</v>
      </c>
      <c r="C45" s="217" t="s">
        <v>748</v>
      </c>
      <c r="D45" s="366"/>
      <c r="E45" s="366">
        <v>1</v>
      </c>
      <c r="F45" s="367">
        <v>252000</v>
      </c>
      <c r="G45" s="367">
        <f t="shared" ref="G45" si="6">F45</f>
        <v>252000</v>
      </c>
      <c r="H45" s="94"/>
      <c r="J45">
        <v>240000</v>
      </c>
      <c r="K45">
        <f t="shared" si="3"/>
        <v>12000</v>
      </c>
      <c r="L45">
        <f t="shared" si="4"/>
        <v>252000</v>
      </c>
    </row>
    <row r="46" spans="2:12" x14ac:dyDescent="0.2">
      <c r="B46" s="366">
        <v>12</v>
      </c>
      <c r="C46" s="217" t="s">
        <v>749</v>
      </c>
      <c r="D46" s="366"/>
      <c r="E46" s="366">
        <v>1</v>
      </c>
      <c r="F46" s="367">
        <v>278250</v>
      </c>
      <c r="G46" s="367">
        <f>E46*F46</f>
        <v>278250</v>
      </c>
      <c r="H46" s="94"/>
      <c r="J46">
        <v>265000</v>
      </c>
      <c r="K46">
        <f t="shared" si="3"/>
        <v>13250</v>
      </c>
      <c r="L46">
        <f t="shared" si="4"/>
        <v>278250</v>
      </c>
    </row>
    <row r="47" spans="2:12" x14ac:dyDescent="0.2">
      <c r="B47" s="366">
        <v>13</v>
      </c>
      <c r="C47" s="217" t="s">
        <v>750</v>
      </c>
      <c r="D47" s="366"/>
      <c r="E47" s="366">
        <v>4</v>
      </c>
      <c r="F47" s="367">
        <v>73500</v>
      </c>
      <c r="G47" s="367">
        <f t="shared" ref="G47:G52" si="7">E47*F47</f>
        <v>294000</v>
      </c>
      <c r="H47" s="94"/>
      <c r="J47">
        <v>70000</v>
      </c>
      <c r="K47">
        <f t="shared" si="3"/>
        <v>3500</v>
      </c>
      <c r="L47">
        <f t="shared" si="4"/>
        <v>73500</v>
      </c>
    </row>
    <row r="48" spans="2:12" x14ac:dyDescent="0.2">
      <c r="B48" s="366">
        <v>14</v>
      </c>
      <c r="C48" s="217" t="s">
        <v>751</v>
      </c>
      <c r="D48" s="366"/>
      <c r="E48" s="366">
        <v>2</v>
      </c>
      <c r="F48" s="367">
        <v>63000</v>
      </c>
      <c r="G48" s="367">
        <f t="shared" si="7"/>
        <v>126000</v>
      </c>
      <c r="H48" s="94"/>
      <c r="J48">
        <v>60000</v>
      </c>
      <c r="K48">
        <f t="shared" si="3"/>
        <v>3000</v>
      </c>
      <c r="L48">
        <f t="shared" si="4"/>
        <v>63000</v>
      </c>
    </row>
    <row r="49" spans="2:12" x14ac:dyDescent="0.2">
      <c r="B49" s="366">
        <v>15</v>
      </c>
      <c r="C49" s="217" t="s">
        <v>752</v>
      </c>
      <c r="D49" s="366"/>
      <c r="E49" s="366">
        <v>2</v>
      </c>
      <c r="F49" s="367">
        <v>115500</v>
      </c>
      <c r="G49" s="367">
        <f t="shared" si="7"/>
        <v>231000</v>
      </c>
      <c r="H49" s="94"/>
      <c r="J49">
        <v>110000</v>
      </c>
      <c r="K49">
        <f t="shared" si="3"/>
        <v>5500</v>
      </c>
      <c r="L49">
        <f t="shared" si="4"/>
        <v>115500</v>
      </c>
    </row>
    <row r="50" spans="2:12" x14ac:dyDescent="0.2">
      <c r="B50" s="366">
        <v>16</v>
      </c>
      <c r="C50" s="217" t="s">
        <v>753</v>
      </c>
      <c r="D50" s="366"/>
      <c r="E50" s="366">
        <v>1</v>
      </c>
      <c r="F50" s="367">
        <v>1207500</v>
      </c>
      <c r="G50" s="367">
        <f t="shared" si="7"/>
        <v>1207500</v>
      </c>
      <c r="H50" s="94"/>
      <c r="J50">
        <v>1150000</v>
      </c>
      <c r="K50">
        <f t="shared" si="3"/>
        <v>57500</v>
      </c>
      <c r="L50">
        <f t="shared" si="4"/>
        <v>1207500</v>
      </c>
    </row>
    <row r="51" spans="2:12" x14ac:dyDescent="0.2">
      <c r="B51" s="366">
        <v>17</v>
      </c>
      <c r="C51" s="217" t="s">
        <v>754</v>
      </c>
      <c r="D51" s="366"/>
      <c r="E51" s="366">
        <v>1</v>
      </c>
      <c r="F51" s="367">
        <v>273000</v>
      </c>
      <c r="G51" s="367">
        <f t="shared" si="7"/>
        <v>273000</v>
      </c>
      <c r="H51" s="94"/>
      <c r="J51">
        <v>260000</v>
      </c>
      <c r="K51">
        <f t="shared" si="3"/>
        <v>13000</v>
      </c>
      <c r="L51">
        <f t="shared" si="4"/>
        <v>273000</v>
      </c>
    </row>
    <row r="52" spans="2:12" x14ac:dyDescent="0.2">
      <c r="B52" s="366">
        <v>18</v>
      </c>
      <c r="C52" s="217" t="s">
        <v>761</v>
      </c>
      <c r="D52" s="366"/>
      <c r="E52" s="366">
        <v>1</v>
      </c>
      <c r="F52" s="367">
        <v>796500</v>
      </c>
      <c r="G52" s="367">
        <f t="shared" si="7"/>
        <v>796500</v>
      </c>
      <c r="H52" s="94"/>
    </row>
    <row r="53" spans="2:12" x14ac:dyDescent="0.2">
      <c r="B53" s="366"/>
      <c r="C53" s="217"/>
      <c r="D53" s="366"/>
      <c r="E53" s="366"/>
      <c r="F53" s="367"/>
      <c r="G53" s="367"/>
      <c r="H53" s="94"/>
    </row>
    <row r="54" spans="2:12" x14ac:dyDescent="0.2">
      <c r="B54" s="456" t="s">
        <v>172</v>
      </c>
      <c r="C54" s="456"/>
      <c r="D54" s="368"/>
      <c r="E54" s="368"/>
      <c r="F54" s="221"/>
      <c r="G54" s="221">
        <f>SUM(G35:G52)</f>
        <v>5999250</v>
      </c>
      <c r="H54" s="221">
        <v>37</v>
      </c>
    </row>
    <row r="55" spans="2:12" x14ac:dyDescent="0.2">
      <c r="B55" s="366"/>
      <c r="C55" s="217"/>
      <c r="D55" s="366"/>
      <c r="E55" s="366"/>
      <c r="F55" s="367"/>
      <c r="G55" s="367"/>
      <c r="H55" s="94"/>
    </row>
    <row r="56" spans="2:12" x14ac:dyDescent="0.2">
      <c r="B56" s="368" t="s">
        <v>176</v>
      </c>
      <c r="C56" s="215" t="s">
        <v>366</v>
      </c>
      <c r="D56" s="366"/>
      <c r="E56" s="366"/>
      <c r="F56" s="367"/>
      <c r="G56" s="367">
        <f t="shared" ref="G56" si="8">E56*F56</f>
        <v>0</v>
      </c>
      <c r="H56" s="94"/>
    </row>
    <row r="57" spans="2:12" x14ac:dyDescent="0.2">
      <c r="B57" s="366"/>
      <c r="C57" s="217"/>
      <c r="D57" s="366"/>
      <c r="E57" s="366"/>
      <c r="F57" s="367"/>
      <c r="G57" s="367"/>
      <c r="H57" s="94"/>
      <c r="J57">
        <v>350000</v>
      </c>
      <c r="K57">
        <f>J57*5%</f>
        <v>17500</v>
      </c>
      <c r="L57">
        <f>J57+K57</f>
        <v>367500</v>
      </c>
    </row>
    <row r="58" spans="2:12" x14ac:dyDescent="0.2">
      <c r="B58" s="366"/>
      <c r="C58" s="217"/>
      <c r="D58" s="366"/>
      <c r="E58" s="366"/>
      <c r="F58" s="367"/>
      <c r="G58" s="367"/>
      <c r="H58" s="94"/>
      <c r="J58">
        <v>100000</v>
      </c>
      <c r="K58">
        <f t="shared" ref="K58:K65" si="9">J58*5%</f>
        <v>5000</v>
      </c>
      <c r="L58">
        <f t="shared" ref="L58:L66" si="10">J58+K58</f>
        <v>105000</v>
      </c>
    </row>
    <row r="59" spans="2:12" x14ac:dyDescent="0.2">
      <c r="B59" s="366"/>
      <c r="C59" s="217"/>
      <c r="D59" s="366"/>
      <c r="E59" s="366"/>
      <c r="F59" s="367"/>
      <c r="G59" s="367"/>
      <c r="H59" s="94"/>
      <c r="J59">
        <v>180000</v>
      </c>
      <c r="K59">
        <f t="shared" si="9"/>
        <v>9000</v>
      </c>
      <c r="L59">
        <f t="shared" si="10"/>
        <v>189000</v>
      </c>
    </row>
    <row r="60" spans="2:12" x14ac:dyDescent="0.2">
      <c r="B60" s="366"/>
      <c r="C60" s="217"/>
      <c r="D60" s="366"/>
      <c r="E60" s="366"/>
      <c r="F60" s="367"/>
      <c r="G60" s="367"/>
      <c r="H60" s="94"/>
      <c r="J60">
        <v>55000</v>
      </c>
      <c r="K60">
        <f t="shared" si="9"/>
        <v>2750</v>
      </c>
      <c r="L60">
        <f t="shared" si="10"/>
        <v>57750</v>
      </c>
    </row>
    <row r="61" spans="2:12" x14ac:dyDescent="0.2">
      <c r="B61" s="366"/>
      <c r="C61" s="217"/>
      <c r="D61" s="366"/>
      <c r="E61" s="366"/>
      <c r="F61" s="367"/>
      <c r="G61" s="367"/>
      <c r="H61" s="94"/>
      <c r="J61">
        <v>130000</v>
      </c>
      <c r="K61">
        <f t="shared" si="9"/>
        <v>6500</v>
      </c>
      <c r="L61">
        <f t="shared" si="10"/>
        <v>136500</v>
      </c>
    </row>
    <row r="62" spans="2:12" x14ac:dyDescent="0.2">
      <c r="B62" s="366"/>
      <c r="C62" s="217"/>
      <c r="D62" s="217"/>
      <c r="E62" s="366"/>
      <c r="F62" s="367"/>
      <c r="G62" s="367"/>
      <c r="H62" s="94"/>
      <c r="J62">
        <v>575000</v>
      </c>
      <c r="K62">
        <f t="shared" si="9"/>
        <v>28750</v>
      </c>
      <c r="L62">
        <f t="shared" si="10"/>
        <v>603750</v>
      </c>
    </row>
    <row r="63" spans="2:12" x14ac:dyDescent="0.2">
      <c r="B63" s="366"/>
      <c r="C63" s="217"/>
      <c r="D63" s="217"/>
      <c r="E63" s="366"/>
      <c r="F63" s="367"/>
      <c r="G63" s="367"/>
      <c r="H63" s="94"/>
      <c r="J63">
        <f>140000*4</f>
        <v>560000</v>
      </c>
      <c r="K63">
        <f t="shared" si="9"/>
        <v>28000</v>
      </c>
      <c r="L63">
        <f t="shared" si="10"/>
        <v>588000</v>
      </c>
    </row>
    <row r="64" spans="2:12" x14ac:dyDescent="0.2">
      <c r="B64" s="366"/>
      <c r="C64" s="217"/>
      <c r="D64" s="217"/>
      <c r="E64" s="366"/>
      <c r="F64" s="367"/>
      <c r="G64" s="367"/>
      <c r="H64" s="94"/>
      <c r="J64">
        <v>65000</v>
      </c>
      <c r="K64">
        <f t="shared" si="9"/>
        <v>3250</v>
      </c>
      <c r="L64">
        <f t="shared" si="10"/>
        <v>68250</v>
      </c>
    </row>
    <row r="65" spans="2:15" x14ac:dyDescent="0.2">
      <c r="B65" s="366"/>
      <c r="C65" s="217"/>
      <c r="D65" s="217"/>
      <c r="E65" s="366"/>
      <c r="F65" s="367"/>
      <c r="G65" s="367"/>
      <c r="H65" s="94"/>
      <c r="J65">
        <v>335000</v>
      </c>
      <c r="K65">
        <f t="shared" si="9"/>
        <v>16750</v>
      </c>
      <c r="L65">
        <f t="shared" si="10"/>
        <v>351750</v>
      </c>
    </row>
    <row r="66" spans="2:15" x14ac:dyDescent="0.2">
      <c r="B66" s="366"/>
      <c r="C66" s="217"/>
      <c r="D66" s="217"/>
      <c r="E66" s="366"/>
      <c r="F66" s="367"/>
      <c r="G66" s="367"/>
      <c r="H66" s="94"/>
      <c r="J66">
        <v>250000</v>
      </c>
      <c r="K66">
        <f>J66*5%</f>
        <v>12500</v>
      </c>
      <c r="L66">
        <f t="shared" si="10"/>
        <v>262500</v>
      </c>
      <c r="O66">
        <f>SUM(K57:K66)</f>
        <v>130000</v>
      </c>
    </row>
    <row r="67" spans="2:15" x14ac:dyDescent="0.2">
      <c r="B67" s="366"/>
      <c r="C67" s="217"/>
      <c r="D67" s="217"/>
      <c r="E67" s="366"/>
      <c r="F67" s="367"/>
      <c r="G67" s="367"/>
      <c r="H67" s="94"/>
      <c r="I67" t="s">
        <v>725</v>
      </c>
      <c r="L67">
        <v>200600</v>
      </c>
    </row>
    <row r="68" spans="2:15" x14ac:dyDescent="0.2">
      <c r="B68" s="366"/>
      <c r="C68" s="217"/>
      <c r="D68" s="217"/>
      <c r="E68" s="366"/>
      <c r="F68" s="367"/>
      <c r="G68" s="367"/>
      <c r="H68" s="94"/>
      <c r="L68">
        <v>80000</v>
      </c>
    </row>
    <row r="69" spans="2:15" x14ac:dyDescent="0.2">
      <c r="B69" s="366"/>
      <c r="C69" s="217"/>
      <c r="D69" s="217"/>
      <c r="E69" s="366"/>
      <c r="F69" s="367"/>
      <c r="G69" s="367"/>
      <c r="H69" s="94"/>
      <c r="L69">
        <f>SUM(L57:L68)</f>
        <v>3010600</v>
      </c>
    </row>
    <row r="70" spans="2:15" x14ac:dyDescent="0.2">
      <c r="B70" s="456" t="s">
        <v>172</v>
      </c>
      <c r="C70" s="456"/>
      <c r="D70" s="217"/>
      <c r="E70" s="366"/>
      <c r="F70" s="367"/>
      <c r="G70" s="221">
        <f>SUM(G56:G69)</f>
        <v>0</v>
      </c>
      <c r="H70" s="367">
        <v>37</v>
      </c>
    </row>
    <row r="71" spans="2:15" x14ac:dyDescent="0.2">
      <c r="B71" s="368"/>
      <c r="C71" s="368"/>
      <c r="D71" s="217"/>
      <c r="E71" s="366"/>
      <c r="F71" s="367"/>
      <c r="G71" s="367"/>
      <c r="H71" s="367"/>
    </row>
    <row r="72" spans="2:15" x14ac:dyDescent="0.2">
      <c r="B72" s="368" t="s">
        <v>177</v>
      </c>
      <c r="C72" s="368" t="s">
        <v>696</v>
      </c>
      <c r="D72" s="217"/>
      <c r="E72" s="366"/>
      <c r="F72" s="367"/>
      <c r="G72" s="367">
        <f>E72*F72</f>
        <v>0</v>
      </c>
      <c r="H72" s="367"/>
    </row>
    <row r="73" spans="2:15" x14ac:dyDescent="0.2">
      <c r="B73" s="366"/>
      <c r="C73" s="217"/>
      <c r="D73" s="366"/>
      <c r="E73" s="366"/>
      <c r="F73" s="367"/>
      <c r="G73" s="367"/>
      <c r="H73" s="367"/>
    </row>
    <row r="74" spans="2:15" x14ac:dyDescent="0.2">
      <c r="B74" s="366"/>
      <c r="C74" s="217"/>
      <c r="D74" s="366"/>
      <c r="E74" s="366"/>
      <c r="F74" s="367"/>
      <c r="G74" s="367"/>
      <c r="H74" s="367"/>
    </row>
    <row r="75" spans="2:15" x14ac:dyDescent="0.2">
      <c r="B75" s="366"/>
      <c r="C75" s="217"/>
      <c r="D75" s="366"/>
      <c r="E75" s="366"/>
      <c r="F75" s="367"/>
      <c r="G75" s="367"/>
      <c r="H75" s="94"/>
    </row>
    <row r="76" spans="2:15" x14ac:dyDescent="0.2">
      <c r="B76" s="456" t="s">
        <v>172</v>
      </c>
      <c r="C76" s="456"/>
      <c r="D76" s="217"/>
      <c r="E76" s="366"/>
      <c r="F76" s="367"/>
      <c r="G76" s="367">
        <f>SUM(G72:G75)</f>
        <v>0</v>
      </c>
      <c r="H76" s="367">
        <f>SUM(H72:H75)</f>
        <v>0</v>
      </c>
    </row>
    <row r="77" spans="2:15" x14ac:dyDescent="0.2">
      <c r="B77" s="366"/>
      <c r="C77" s="217"/>
      <c r="D77" s="217"/>
      <c r="E77" s="366"/>
      <c r="F77" s="367"/>
      <c r="G77" s="367"/>
      <c r="H77" s="94"/>
    </row>
    <row r="78" spans="2:15" x14ac:dyDescent="0.2">
      <c r="B78" s="455" t="s">
        <v>1</v>
      </c>
      <c r="C78" s="455"/>
      <c r="D78" s="455"/>
      <c r="E78" s="455"/>
      <c r="F78" s="455"/>
      <c r="G78" s="221">
        <f>G70+G54+G32+G76</f>
        <v>5999250</v>
      </c>
      <c r="H78" s="221">
        <v>37</v>
      </c>
    </row>
    <row r="79" spans="2:15" x14ac:dyDescent="0.2">
      <c r="B79" s="18"/>
      <c r="G79" s="17"/>
    </row>
    <row r="80" spans="2:15" x14ac:dyDescent="0.2">
      <c r="B80" s="452" t="s">
        <v>415</v>
      </c>
      <c r="C80" s="452"/>
      <c r="D80" s="452"/>
      <c r="E80" s="452"/>
      <c r="F80" s="452"/>
      <c r="G80" s="452"/>
      <c r="H80" s="452"/>
    </row>
    <row r="81" spans="1:14" x14ac:dyDescent="0.2">
      <c r="B81" s="18"/>
      <c r="G81" s="17"/>
      <c r="I81" s="18"/>
      <c r="J81" s="18"/>
      <c r="K81" s="19"/>
    </row>
    <row r="84" spans="1:14" ht="18" x14ac:dyDescent="0.2">
      <c r="A84">
        <v>2.2999999999999998</v>
      </c>
      <c r="B84" s="451" t="s">
        <v>724</v>
      </c>
      <c r="C84" s="451"/>
      <c r="D84" s="451"/>
      <c r="E84" s="451"/>
      <c r="F84" s="451"/>
    </row>
    <row r="85" spans="1:14" x14ac:dyDescent="0.2">
      <c r="B85" s="12"/>
      <c r="C85" s="12"/>
      <c r="D85" s="12"/>
      <c r="E85" s="12"/>
      <c r="F85" s="12"/>
    </row>
    <row r="86" spans="1:14" ht="25.5" x14ac:dyDescent="0.2">
      <c r="B86" s="385" t="s">
        <v>145</v>
      </c>
      <c r="C86" s="386" t="s">
        <v>127</v>
      </c>
      <c r="D86" s="386" t="s">
        <v>152</v>
      </c>
      <c r="E86" s="386" t="s">
        <v>153</v>
      </c>
      <c r="F86" s="386" t="s">
        <v>159</v>
      </c>
    </row>
    <row r="87" spans="1:14" x14ac:dyDescent="0.2">
      <c r="B87" s="374">
        <v>1</v>
      </c>
      <c r="C87" s="217" t="s">
        <v>692</v>
      </c>
      <c r="D87" s="374">
        <v>1</v>
      </c>
      <c r="E87" s="375">
        <v>0</v>
      </c>
      <c r="F87" s="376">
        <f t="shared" ref="F87:F92" si="11">D87*E87</f>
        <v>0</v>
      </c>
    </row>
    <row r="88" spans="1:14" x14ac:dyDescent="0.2">
      <c r="B88" s="374"/>
      <c r="C88" s="377"/>
      <c r="D88" s="374"/>
      <c r="E88" s="375"/>
      <c r="F88" s="376">
        <f t="shared" si="11"/>
        <v>0</v>
      </c>
    </row>
    <row r="89" spans="1:14" x14ac:dyDescent="0.2">
      <c r="B89" s="374"/>
      <c r="C89" s="377"/>
      <c r="D89" s="374"/>
      <c r="E89" s="375"/>
      <c r="F89" s="376">
        <f t="shared" si="11"/>
        <v>0</v>
      </c>
      <c r="N89" s="414"/>
    </row>
    <row r="90" spans="1:14" x14ac:dyDescent="0.2">
      <c r="B90" s="374"/>
      <c r="C90" s="377"/>
      <c r="D90" s="374"/>
      <c r="E90" s="375"/>
      <c r="F90" s="376">
        <f t="shared" si="11"/>
        <v>0</v>
      </c>
    </row>
    <row r="91" spans="1:14" x14ac:dyDescent="0.2">
      <c r="B91" s="374"/>
      <c r="C91" s="377"/>
      <c r="D91" s="374"/>
      <c r="E91" s="375"/>
      <c r="F91" s="376">
        <f t="shared" si="11"/>
        <v>0</v>
      </c>
    </row>
    <row r="92" spans="1:14" x14ac:dyDescent="0.2">
      <c r="B92" s="374"/>
      <c r="C92" s="377"/>
      <c r="D92" s="374"/>
      <c r="E92" s="375"/>
      <c r="F92" s="376">
        <f t="shared" si="11"/>
        <v>0</v>
      </c>
    </row>
    <row r="93" spans="1:14" x14ac:dyDescent="0.2">
      <c r="B93" s="461" t="s">
        <v>1</v>
      </c>
      <c r="C93" s="461"/>
      <c r="D93" s="461"/>
      <c r="E93" s="461"/>
      <c r="F93" s="378">
        <f>SUM(F87:F92)</f>
        <v>0</v>
      </c>
    </row>
    <row r="95" spans="1:14" x14ac:dyDescent="0.2">
      <c r="A95" s="452" t="s">
        <v>416</v>
      </c>
      <c r="B95" s="452"/>
      <c r="C95" s="452"/>
      <c r="D95" s="452"/>
      <c r="E95" s="452"/>
      <c r="F95" s="452"/>
      <c r="G95" s="452"/>
    </row>
    <row r="98" spans="1:6" ht="18" x14ac:dyDescent="0.2">
      <c r="A98">
        <v>2.4</v>
      </c>
      <c r="B98" s="451" t="s">
        <v>375</v>
      </c>
      <c r="C98" s="451"/>
      <c r="D98" s="451"/>
      <c r="E98" s="451"/>
      <c r="F98" s="451"/>
    </row>
    <row r="100" spans="1:6" ht="25.5" x14ac:dyDescent="0.2">
      <c r="B100" s="385" t="s">
        <v>145</v>
      </c>
      <c r="C100" s="386" t="s">
        <v>127</v>
      </c>
      <c r="D100" s="386" t="s">
        <v>152</v>
      </c>
      <c r="E100" s="386" t="s">
        <v>153</v>
      </c>
      <c r="F100" s="386" t="s">
        <v>159</v>
      </c>
    </row>
    <row r="101" spans="1:6" x14ac:dyDescent="0.2">
      <c r="B101" s="374"/>
      <c r="C101" s="377"/>
      <c r="D101" s="374"/>
      <c r="E101" s="375"/>
      <c r="F101" s="376"/>
    </row>
    <row r="102" spans="1:6" x14ac:dyDescent="0.2">
      <c r="B102" s="374">
        <v>1</v>
      </c>
      <c r="C102" s="377" t="s">
        <v>727</v>
      </c>
      <c r="D102" s="374">
        <v>1</v>
      </c>
      <c r="E102" s="375">
        <v>11500</v>
      </c>
      <c r="F102" s="376">
        <f>D102*E102</f>
        <v>11500</v>
      </c>
    </row>
    <row r="103" spans="1:6" x14ac:dyDescent="0.2">
      <c r="B103" s="374">
        <v>2</v>
      </c>
      <c r="C103" s="377" t="s">
        <v>728</v>
      </c>
      <c r="D103" s="374">
        <v>16</v>
      </c>
      <c r="E103" s="375">
        <v>7950</v>
      </c>
      <c r="F103" s="376">
        <f t="shared" ref="F103:F109" si="12">D103*E103</f>
        <v>127200</v>
      </c>
    </row>
    <row r="104" spans="1:6" x14ac:dyDescent="0.2">
      <c r="B104" s="374">
        <v>3</v>
      </c>
      <c r="C104" s="377" t="s">
        <v>729</v>
      </c>
      <c r="D104" s="374">
        <v>2</v>
      </c>
      <c r="E104" s="375">
        <v>2950</v>
      </c>
      <c r="F104" s="376">
        <f t="shared" si="12"/>
        <v>5900</v>
      </c>
    </row>
    <row r="105" spans="1:6" x14ac:dyDescent="0.2">
      <c r="B105" s="374">
        <v>4</v>
      </c>
      <c r="C105" s="377" t="s">
        <v>730</v>
      </c>
      <c r="D105" s="374">
        <v>1</v>
      </c>
      <c r="E105" s="375">
        <v>14500</v>
      </c>
      <c r="F105" s="376">
        <f t="shared" si="12"/>
        <v>14500</v>
      </c>
    </row>
    <row r="106" spans="1:6" x14ac:dyDescent="0.2">
      <c r="B106" s="374">
        <v>5</v>
      </c>
      <c r="C106" s="377" t="s">
        <v>731</v>
      </c>
      <c r="D106" s="374">
        <v>2</v>
      </c>
      <c r="E106" s="375">
        <v>4580</v>
      </c>
      <c r="F106" s="376">
        <f t="shared" si="12"/>
        <v>9160</v>
      </c>
    </row>
    <row r="107" spans="1:6" x14ac:dyDescent="0.2">
      <c r="B107" s="374">
        <v>6</v>
      </c>
      <c r="C107" s="377" t="s">
        <v>732</v>
      </c>
      <c r="D107" s="374">
        <v>30</v>
      </c>
      <c r="E107" s="375">
        <v>10</v>
      </c>
      <c r="F107" s="376">
        <f t="shared" si="12"/>
        <v>300</v>
      </c>
    </row>
    <row r="108" spans="1:6" x14ac:dyDescent="0.2">
      <c r="B108" s="374">
        <v>7</v>
      </c>
      <c r="C108" s="377" t="s">
        <v>733</v>
      </c>
      <c r="D108" s="374">
        <v>7</v>
      </c>
      <c r="E108" s="375">
        <v>40</v>
      </c>
      <c r="F108" s="376">
        <f t="shared" si="12"/>
        <v>280</v>
      </c>
    </row>
    <row r="109" spans="1:6" x14ac:dyDescent="0.2">
      <c r="B109" s="374">
        <v>8</v>
      </c>
      <c r="C109" s="377" t="s">
        <v>734</v>
      </c>
      <c r="D109" s="374">
        <v>1</v>
      </c>
      <c r="E109" s="375">
        <v>2500</v>
      </c>
      <c r="F109" s="376">
        <f t="shared" si="12"/>
        <v>2500</v>
      </c>
    </row>
    <row r="110" spans="1:6" x14ac:dyDescent="0.2">
      <c r="B110" s="374"/>
      <c r="C110" s="377"/>
      <c r="D110" s="374"/>
      <c r="E110" s="375"/>
      <c r="F110" s="376"/>
    </row>
    <row r="111" spans="1:6" x14ac:dyDescent="0.2">
      <c r="B111" s="374"/>
      <c r="C111" s="377"/>
      <c r="D111" s="374"/>
      <c r="E111" s="375"/>
      <c r="F111" s="376"/>
    </row>
    <row r="112" spans="1:6" x14ac:dyDescent="0.2">
      <c r="B112" s="462" t="s">
        <v>1</v>
      </c>
      <c r="C112" s="462"/>
      <c r="D112" s="462"/>
      <c r="E112" s="462"/>
      <c r="F112" s="20">
        <f>SUM(F101:F110)</f>
        <v>171340</v>
      </c>
    </row>
    <row r="114" spans="1:7" x14ac:dyDescent="0.2">
      <c r="A114" s="452" t="s">
        <v>697</v>
      </c>
      <c r="B114" s="452"/>
      <c r="C114" s="452"/>
      <c r="D114" s="452"/>
      <c r="E114" s="452"/>
      <c r="F114" s="452"/>
      <c r="G114" s="452"/>
    </row>
    <row r="117" spans="1:7" ht="18" x14ac:dyDescent="0.2">
      <c r="A117">
        <v>2.5</v>
      </c>
      <c r="B117" s="451" t="s">
        <v>639</v>
      </c>
      <c r="C117" s="451"/>
      <c r="D117" s="451"/>
      <c r="E117" s="451"/>
      <c r="F117" s="451"/>
    </row>
    <row r="119" spans="1:7" x14ac:dyDescent="0.2">
      <c r="B119" s="415" t="s">
        <v>145</v>
      </c>
      <c r="C119" s="211" t="s">
        <v>127</v>
      </c>
      <c r="D119" s="211" t="s">
        <v>152</v>
      </c>
      <c r="E119" s="211" t="s">
        <v>153</v>
      </c>
      <c r="F119" s="211" t="s">
        <v>159</v>
      </c>
    </row>
    <row r="120" spans="1:7" x14ac:dyDescent="0.2">
      <c r="B120" s="366">
        <v>1</v>
      </c>
      <c r="C120" s="217"/>
      <c r="D120" s="366"/>
      <c r="E120" s="379"/>
      <c r="F120" s="367">
        <f>E120*D120</f>
        <v>0</v>
      </c>
    </row>
    <row r="121" spans="1:7" x14ac:dyDescent="0.2">
      <c r="B121" s="366"/>
      <c r="C121" s="217"/>
      <c r="D121" s="366"/>
      <c r="E121" s="379"/>
      <c r="F121" s="367">
        <f>E121*D121</f>
        <v>0</v>
      </c>
    </row>
    <row r="122" spans="1:7" x14ac:dyDescent="0.2">
      <c r="B122" s="366"/>
      <c r="C122" s="217"/>
      <c r="D122" s="366"/>
      <c r="E122" s="379"/>
      <c r="F122" s="367">
        <f>E122*D122</f>
        <v>0</v>
      </c>
    </row>
    <row r="123" spans="1:7" x14ac:dyDescent="0.2">
      <c r="B123" s="455" t="s">
        <v>1</v>
      </c>
      <c r="C123" s="455"/>
      <c r="D123" s="455"/>
      <c r="E123" s="455"/>
      <c r="F123" s="210">
        <f>SUM(F120:F122)</f>
        <v>0</v>
      </c>
    </row>
    <row r="124" spans="1:7" x14ac:dyDescent="0.2">
      <c r="A124" s="460" t="s">
        <v>447</v>
      </c>
      <c r="B124" s="460"/>
      <c r="C124" s="460"/>
      <c r="D124" s="460"/>
      <c r="E124" s="460"/>
      <c r="F124" s="460"/>
      <c r="G124" s="460"/>
    </row>
    <row r="127" spans="1:7" ht="18" x14ac:dyDescent="0.2">
      <c r="A127">
        <v>2.6</v>
      </c>
      <c r="B127" s="451" t="s">
        <v>256</v>
      </c>
      <c r="C127" s="451"/>
      <c r="D127" s="451"/>
    </row>
    <row r="128" spans="1:7" ht="15.75" thickBot="1" x14ac:dyDescent="0.25"/>
    <row r="129" spans="1:13" ht="26.25" thickBot="1" x14ac:dyDescent="0.25">
      <c r="B129" s="219" t="s">
        <v>145</v>
      </c>
      <c r="C129" s="220" t="s">
        <v>127</v>
      </c>
      <c r="D129" s="220" t="s">
        <v>374</v>
      </c>
    </row>
    <row r="130" spans="1:13" ht="15.75" thickBot="1" x14ac:dyDescent="0.25">
      <c r="B130" s="380">
        <v>1</v>
      </c>
      <c r="C130" s="381" t="s">
        <v>691</v>
      </c>
      <c r="D130" s="382">
        <v>975850</v>
      </c>
    </row>
    <row r="131" spans="1:13" ht="15.75" thickBot="1" x14ac:dyDescent="0.25">
      <c r="B131" s="380"/>
      <c r="C131" s="383"/>
      <c r="D131" s="382"/>
    </row>
    <row r="132" spans="1:13" ht="15.75" thickBot="1" x14ac:dyDescent="0.25">
      <c r="B132" s="380"/>
      <c r="C132" s="383"/>
      <c r="D132" s="382"/>
    </row>
    <row r="133" spans="1:13" ht="15.75" thickBot="1" x14ac:dyDescent="0.25">
      <c r="B133" s="380"/>
      <c r="C133" s="383"/>
      <c r="D133" s="382"/>
      <c r="J133" s="21"/>
    </row>
    <row r="134" spans="1:13" ht="15.75" thickBot="1" x14ac:dyDescent="0.25">
      <c r="B134" s="380"/>
      <c r="C134" s="383"/>
      <c r="D134" s="382"/>
    </row>
    <row r="135" spans="1:13" ht="15.75" thickBot="1" x14ac:dyDescent="0.25">
      <c r="B135" s="457" t="s">
        <v>1</v>
      </c>
      <c r="C135" s="458"/>
      <c r="D135" s="384">
        <f>SUM(D130:D134)</f>
        <v>975850</v>
      </c>
      <c r="H135" s="21"/>
      <c r="L135" s="21"/>
      <c r="M135" s="360"/>
    </row>
    <row r="137" spans="1:13" ht="30" customHeight="1" x14ac:dyDescent="0.2">
      <c r="A137" s="459" t="s">
        <v>448</v>
      </c>
      <c r="B137" s="459"/>
      <c r="C137" s="459"/>
      <c r="D137" s="459"/>
      <c r="E137" s="459"/>
    </row>
    <row r="143" spans="1:13" x14ac:dyDescent="0.2">
      <c r="G143" s="21"/>
    </row>
  </sheetData>
  <mergeCells count="22">
    <mergeCell ref="B135:C135"/>
    <mergeCell ref="A137:E137"/>
    <mergeCell ref="B76:C76"/>
    <mergeCell ref="A114:G114"/>
    <mergeCell ref="B123:E123"/>
    <mergeCell ref="B117:F117"/>
    <mergeCell ref="A124:G124"/>
    <mergeCell ref="B127:D127"/>
    <mergeCell ref="B93:E93"/>
    <mergeCell ref="B84:F84"/>
    <mergeCell ref="A95:G95"/>
    <mergeCell ref="B112:E112"/>
    <mergeCell ref="B98:F98"/>
    <mergeCell ref="B12:F12"/>
    <mergeCell ref="B2:G2"/>
    <mergeCell ref="B15:G15"/>
    <mergeCell ref="B80:H80"/>
    <mergeCell ref="B78:F78"/>
    <mergeCell ref="B17:H17"/>
    <mergeCell ref="B32:C32"/>
    <mergeCell ref="B54:C54"/>
    <mergeCell ref="B70:C70"/>
  </mergeCells>
  <pageMargins left="0.7" right="0.7" top="0.75" bottom="0.75" header="0.3" footer="0.3"/>
  <pageSetup scale="73" orientation="landscape" r:id="rId1"/>
  <rowBreaks count="3" manualBreakCount="3">
    <brk id="32" max="7" man="1"/>
    <brk id="78" max="7" man="1"/>
    <brk id="114" max="7"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R149"/>
  <sheetViews>
    <sheetView view="pageBreakPreview" topLeftCell="B25" zoomScale="80" zoomScaleNormal="70" zoomScaleSheetLayoutView="80" workbookViewId="0">
      <selection activeCell="I29" sqref="I29"/>
    </sheetView>
  </sheetViews>
  <sheetFormatPr defaultRowHeight="15" x14ac:dyDescent="0.2"/>
  <cols>
    <col min="1" max="1" width="41.296875" customWidth="1"/>
    <col min="2" max="2" width="14.52734375" bestFit="1" customWidth="1"/>
    <col min="3" max="3" width="13.31640625" customWidth="1"/>
    <col min="4" max="4" width="13.44921875" customWidth="1"/>
    <col min="5" max="5" width="14.796875" customWidth="1"/>
    <col min="6" max="7" width="14.66015625" bestFit="1" customWidth="1"/>
    <col min="8" max="8" width="14.796875" bestFit="1" customWidth="1"/>
    <col min="9" max="9" width="14.796875" customWidth="1"/>
    <col min="10" max="10" width="14.66015625" bestFit="1" customWidth="1"/>
    <col min="11" max="11" width="14.66015625" customWidth="1"/>
    <col min="12" max="12" width="14.796875" customWidth="1"/>
    <col min="13" max="18" width="13.44921875" bestFit="1" customWidth="1"/>
  </cols>
  <sheetData>
    <row r="2" spans="1:12" ht="18" x14ac:dyDescent="0.2">
      <c r="A2" s="449" t="s">
        <v>554</v>
      </c>
      <c r="B2" s="449"/>
      <c r="C2" s="449"/>
      <c r="D2" s="449"/>
      <c r="E2" s="449"/>
      <c r="F2" s="449"/>
      <c r="G2" s="449"/>
      <c r="H2" s="449"/>
      <c r="I2" s="449"/>
      <c r="J2" s="449"/>
      <c r="K2" s="449"/>
      <c r="L2" s="449"/>
    </row>
    <row r="4" spans="1:12" x14ac:dyDescent="0.2">
      <c r="A4" s="89"/>
      <c r="B4" s="89"/>
      <c r="C4" s="89"/>
      <c r="D4" s="89"/>
      <c r="E4" s="173">
        <v>1</v>
      </c>
      <c r="F4" s="178">
        <f>(E4*5%)+E4</f>
        <v>1.05</v>
      </c>
      <c r="G4" s="178">
        <f t="shared" ref="G4:J4" si="0">(F4*5%)+F4</f>
        <v>1.1025</v>
      </c>
      <c r="H4" s="178">
        <f t="shared" si="0"/>
        <v>1.1576250000000001</v>
      </c>
      <c r="I4" s="178">
        <f t="shared" si="0"/>
        <v>1.2155062500000002</v>
      </c>
      <c r="J4" s="178">
        <f t="shared" si="0"/>
        <v>1.2762815625000004</v>
      </c>
      <c r="K4" s="178">
        <f>(J4*5%)+J4</f>
        <v>1.3400956406250004</v>
      </c>
    </row>
    <row r="5" spans="1:12" x14ac:dyDescent="0.2">
      <c r="A5" s="89"/>
      <c r="B5" s="89"/>
      <c r="C5" s="89"/>
      <c r="D5" s="89"/>
      <c r="E5" s="89"/>
      <c r="F5" s="89"/>
      <c r="G5" s="89"/>
      <c r="H5" s="89"/>
      <c r="I5" s="89"/>
      <c r="J5" s="89"/>
      <c r="K5" s="89"/>
    </row>
    <row r="6" spans="1:12" x14ac:dyDescent="0.2">
      <c r="A6" s="143" t="s">
        <v>0</v>
      </c>
      <c r="B6" s="143" t="s">
        <v>132</v>
      </c>
      <c r="C6" s="143" t="s">
        <v>391</v>
      </c>
      <c r="D6" s="143" t="s">
        <v>290</v>
      </c>
      <c r="E6" s="115" t="s">
        <v>2</v>
      </c>
      <c r="F6" s="115" t="s">
        <v>3</v>
      </c>
      <c r="G6" s="115" t="s">
        <v>4</v>
      </c>
      <c r="H6" s="115" t="s">
        <v>5</v>
      </c>
      <c r="I6" s="115" t="s">
        <v>6</v>
      </c>
      <c r="J6" s="115" t="s">
        <v>170</v>
      </c>
      <c r="K6" s="115" t="s">
        <v>169</v>
      </c>
    </row>
    <row r="7" spans="1:12" x14ac:dyDescent="0.2">
      <c r="A7" s="90"/>
      <c r="B7" s="90"/>
      <c r="C7" s="90"/>
      <c r="D7" s="90"/>
      <c r="E7" s="90"/>
      <c r="F7" s="90"/>
      <c r="G7" s="90"/>
      <c r="H7" s="90"/>
      <c r="I7" s="90"/>
      <c r="J7" s="90"/>
      <c r="K7" s="90"/>
    </row>
    <row r="8" spans="1:12" x14ac:dyDescent="0.2">
      <c r="A8" s="90" t="s">
        <v>707</v>
      </c>
      <c r="B8" s="90" t="s">
        <v>392</v>
      </c>
      <c r="C8" s="387">
        <v>1</v>
      </c>
      <c r="D8" s="388">
        <v>40000</v>
      </c>
      <c r="E8" s="91">
        <f>$C8*$D8*12*E$4</f>
        <v>480000</v>
      </c>
      <c r="F8" s="91">
        <f t="shared" ref="F8:J9" si="1">$C8*$D8*12*F$4</f>
        <v>504000</v>
      </c>
      <c r="G8" s="91">
        <f t="shared" si="1"/>
        <v>529200</v>
      </c>
      <c r="H8" s="91">
        <f t="shared" si="1"/>
        <v>555660.00000000012</v>
      </c>
      <c r="I8" s="91">
        <f t="shared" si="1"/>
        <v>583443.00000000012</v>
      </c>
      <c r="J8" s="91">
        <f t="shared" si="1"/>
        <v>612615.15000000014</v>
      </c>
      <c r="K8" s="91">
        <f>$C8*$D8*12*K$4</f>
        <v>643245.9075000002</v>
      </c>
    </row>
    <row r="9" spans="1:12" x14ac:dyDescent="0.2">
      <c r="A9" s="90" t="s">
        <v>706</v>
      </c>
      <c r="B9" s="90" t="s">
        <v>392</v>
      </c>
      <c r="C9" s="387">
        <v>1</v>
      </c>
      <c r="D9" s="388">
        <v>30000</v>
      </c>
      <c r="E9" s="91">
        <f>$C9*$D9*12*E$4</f>
        <v>360000</v>
      </c>
      <c r="F9" s="91">
        <f t="shared" si="1"/>
        <v>378000</v>
      </c>
      <c r="G9" s="91">
        <f t="shared" si="1"/>
        <v>396900</v>
      </c>
      <c r="H9" s="91">
        <f t="shared" si="1"/>
        <v>416745.00000000006</v>
      </c>
      <c r="I9" s="91">
        <f t="shared" si="1"/>
        <v>437582.25000000006</v>
      </c>
      <c r="J9" s="91">
        <f t="shared" si="1"/>
        <v>459461.3625000001</v>
      </c>
      <c r="K9" s="91">
        <f>$C9*$D9*12*K$4</f>
        <v>482434.43062500015</v>
      </c>
    </row>
    <row r="10" spans="1:12" x14ac:dyDescent="0.2">
      <c r="A10" s="90" t="s">
        <v>190</v>
      </c>
      <c r="B10" s="90" t="s">
        <v>392</v>
      </c>
      <c r="C10" s="387">
        <v>1</v>
      </c>
      <c r="D10" s="388">
        <v>15000</v>
      </c>
      <c r="E10" s="91">
        <f>$C10*$D10*12*E$4</f>
        <v>180000</v>
      </c>
      <c r="F10" s="91">
        <f t="shared" ref="F10:J11" si="2">$C10*$D10*12*F$4</f>
        <v>189000</v>
      </c>
      <c r="G10" s="91">
        <f t="shared" si="2"/>
        <v>198450</v>
      </c>
      <c r="H10" s="91">
        <f t="shared" si="2"/>
        <v>208372.50000000003</v>
      </c>
      <c r="I10" s="91">
        <f t="shared" si="2"/>
        <v>218791.12500000003</v>
      </c>
      <c r="J10" s="91">
        <f t="shared" si="2"/>
        <v>229730.68125000005</v>
      </c>
      <c r="K10" s="91">
        <f>$C10*$D10*12*K$4</f>
        <v>241217.21531250008</v>
      </c>
    </row>
    <row r="11" spans="1:12" x14ac:dyDescent="0.2">
      <c r="A11" s="90" t="s">
        <v>195</v>
      </c>
      <c r="B11" s="90" t="s">
        <v>392</v>
      </c>
      <c r="C11" s="387">
        <v>2</v>
      </c>
      <c r="D11" s="388">
        <v>10000</v>
      </c>
      <c r="E11" s="91">
        <f>$C11*$D11*12*E$4</f>
        <v>240000</v>
      </c>
      <c r="F11" s="91">
        <f t="shared" si="2"/>
        <v>252000</v>
      </c>
      <c r="G11" s="91">
        <f t="shared" si="2"/>
        <v>264600</v>
      </c>
      <c r="H11" s="91">
        <f t="shared" si="2"/>
        <v>277830.00000000006</v>
      </c>
      <c r="I11" s="91">
        <f t="shared" si="2"/>
        <v>291721.50000000006</v>
      </c>
      <c r="J11" s="91">
        <f t="shared" si="2"/>
        <v>306307.57500000007</v>
      </c>
      <c r="K11" s="91">
        <f>$C11*$D11*12*K$4</f>
        <v>321622.9537500001</v>
      </c>
    </row>
    <row r="12" spans="1:12" x14ac:dyDescent="0.2">
      <c r="A12" s="90" t="s">
        <v>130</v>
      </c>
      <c r="B12" s="90" t="s">
        <v>393</v>
      </c>
      <c r="C12" s="387">
        <v>12</v>
      </c>
      <c r="D12" s="388">
        <v>1250</v>
      </c>
      <c r="E12" s="91">
        <f>$C12*$D12*E$4</f>
        <v>15000</v>
      </c>
      <c r="F12" s="91">
        <f t="shared" ref="F12:J16" si="3">$C12*$D12*F$4</f>
        <v>15750</v>
      </c>
      <c r="G12" s="91">
        <f t="shared" si="3"/>
        <v>16537.5</v>
      </c>
      <c r="H12" s="91">
        <f t="shared" si="3"/>
        <v>17364.375000000004</v>
      </c>
      <c r="I12" s="91">
        <f t="shared" si="3"/>
        <v>18232.593750000004</v>
      </c>
      <c r="J12" s="91">
        <f t="shared" si="3"/>
        <v>19144.223437500004</v>
      </c>
      <c r="K12" s="91">
        <f>$C12*$D12*K$4</f>
        <v>20101.434609375006</v>
      </c>
    </row>
    <row r="13" spans="1:12" x14ac:dyDescent="0.2">
      <c r="A13" s="90" t="s">
        <v>10</v>
      </c>
      <c r="B13" s="90" t="s">
        <v>393</v>
      </c>
      <c r="C13" s="387">
        <v>12</v>
      </c>
      <c r="D13" s="388">
        <v>2500</v>
      </c>
      <c r="E13" s="91">
        <f t="shared" ref="E13:E16" si="4">$C13*$D13*E$4</f>
        <v>30000</v>
      </c>
      <c r="F13" s="91">
        <f t="shared" si="3"/>
        <v>31500</v>
      </c>
      <c r="G13" s="91">
        <f t="shared" si="3"/>
        <v>33075</v>
      </c>
      <c r="H13" s="91">
        <f t="shared" si="3"/>
        <v>34728.750000000007</v>
      </c>
      <c r="I13" s="91">
        <f t="shared" si="3"/>
        <v>36465.187500000007</v>
      </c>
      <c r="J13" s="91">
        <f t="shared" si="3"/>
        <v>38288.446875000009</v>
      </c>
      <c r="K13" s="91">
        <f>$C13*$D13*K$4</f>
        <v>40202.869218750013</v>
      </c>
    </row>
    <row r="14" spans="1:12" x14ac:dyDescent="0.2">
      <c r="A14" s="90" t="s">
        <v>191</v>
      </c>
      <c r="B14" s="90" t="s">
        <v>393</v>
      </c>
      <c r="C14" s="387">
        <v>12</v>
      </c>
      <c r="D14" s="388">
        <v>1100</v>
      </c>
      <c r="E14" s="91">
        <f t="shared" si="4"/>
        <v>13200</v>
      </c>
      <c r="F14" s="91">
        <f t="shared" si="3"/>
        <v>13860</v>
      </c>
      <c r="G14" s="91">
        <f t="shared" si="3"/>
        <v>14553</v>
      </c>
      <c r="H14" s="91">
        <f t="shared" si="3"/>
        <v>15280.650000000001</v>
      </c>
      <c r="I14" s="91">
        <f t="shared" si="3"/>
        <v>16044.682500000003</v>
      </c>
      <c r="J14" s="91">
        <f t="shared" si="3"/>
        <v>16846.916625000005</v>
      </c>
      <c r="K14" s="91">
        <f>$C14*$D14*K$4</f>
        <v>17689.262456250006</v>
      </c>
    </row>
    <row r="15" spans="1:12" x14ac:dyDescent="0.2">
      <c r="A15" s="90" t="s">
        <v>161</v>
      </c>
      <c r="B15" s="90" t="s">
        <v>393</v>
      </c>
      <c r="C15" s="387">
        <v>12</v>
      </c>
      <c r="D15" s="388">
        <v>8333</v>
      </c>
      <c r="E15" s="91">
        <f t="shared" si="4"/>
        <v>99996</v>
      </c>
      <c r="F15" s="91">
        <f t="shared" si="3"/>
        <v>104995.8</v>
      </c>
      <c r="G15" s="91">
        <f t="shared" si="3"/>
        <v>110245.59</v>
      </c>
      <c r="H15" s="91">
        <f t="shared" si="3"/>
        <v>115757.86950000002</v>
      </c>
      <c r="I15" s="91">
        <f t="shared" si="3"/>
        <v>121545.76297500002</v>
      </c>
      <c r="J15" s="91">
        <f t="shared" si="3"/>
        <v>127623.05112375003</v>
      </c>
      <c r="K15" s="91">
        <f>$C15*$D15*K$4</f>
        <v>134004.20367993755</v>
      </c>
    </row>
    <row r="16" spans="1:12" x14ac:dyDescent="0.2">
      <c r="A16" s="90" t="s">
        <v>192</v>
      </c>
      <c r="B16" s="90" t="s">
        <v>393</v>
      </c>
      <c r="C16" s="387">
        <v>12</v>
      </c>
      <c r="D16" s="388">
        <v>2000</v>
      </c>
      <c r="E16" s="91">
        <f t="shared" si="4"/>
        <v>24000</v>
      </c>
      <c r="F16" s="91">
        <f t="shared" si="3"/>
        <v>25200</v>
      </c>
      <c r="G16" s="91">
        <f t="shared" si="3"/>
        <v>26460</v>
      </c>
      <c r="H16" s="91">
        <f t="shared" si="3"/>
        <v>27783.000000000004</v>
      </c>
      <c r="I16" s="91">
        <f t="shared" si="3"/>
        <v>29172.150000000005</v>
      </c>
      <c r="J16" s="91">
        <f t="shared" si="3"/>
        <v>30630.757500000007</v>
      </c>
      <c r="K16" s="91">
        <f>$C16*$D16*K$4</f>
        <v>32162.295375000009</v>
      </c>
    </row>
    <row r="17" spans="1:18" x14ac:dyDescent="0.2">
      <c r="A17" s="90" t="s">
        <v>193</v>
      </c>
      <c r="B17" s="90" t="s">
        <v>394</v>
      </c>
      <c r="C17" s="387">
        <v>1</v>
      </c>
      <c r="D17" s="388">
        <v>50000</v>
      </c>
      <c r="E17" s="91">
        <f>$D17*E$4*$C17</f>
        <v>50000</v>
      </c>
      <c r="F17" s="91">
        <f t="shared" ref="F17:J23" si="5">$D17*F$4*$C17</f>
        <v>52500</v>
      </c>
      <c r="G17" s="91">
        <f t="shared" si="5"/>
        <v>55125</v>
      </c>
      <c r="H17" s="91">
        <f t="shared" si="5"/>
        <v>57881.250000000007</v>
      </c>
      <c r="I17" s="91">
        <f t="shared" si="5"/>
        <v>60775.312500000015</v>
      </c>
      <c r="J17" s="91">
        <f t="shared" si="5"/>
        <v>63814.078125000015</v>
      </c>
      <c r="K17" s="91">
        <f t="shared" ref="K17:K23" si="6">$D17*K$4*$C17</f>
        <v>67004.782031250026</v>
      </c>
    </row>
    <row r="18" spans="1:18" x14ac:dyDescent="0.2">
      <c r="A18" s="90"/>
      <c r="B18" s="90"/>
      <c r="C18" s="387"/>
      <c r="D18" s="388"/>
      <c r="E18" s="91">
        <f t="shared" ref="E18:E23" si="7">$D18*E$4*$C18</f>
        <v>0</v>
      </c>
      <c r="F18" s="91">
        <f t="shared" si="5"/>
        <v>0</v>
      </c>
      <c r="G18" s="91">
        <f t="shared" si="5"/>
        <v>0</v>
      </c>
      <c r="H18" s="91">
        <f t="shared" si="5"/>
        <v>0</v>
      </c>
      <c r="I18" s="91">
        <f t="shared" si="5"/>
        <v>0</v>
      </c>
      <c r="J18" s="91">
        <f t="shared" si="5"/>
        <v>0</v>
      </c>
      <c r="K18" s="91">
        <f t="shared" si="6"/>
        <v>0</v>
      </c>
    </row>
    <row r="19" spans="1:18" x14ac:dyDescent="0.2">
      <c r="A19" s="90"/>
      <c r="B19" s="90"/>
      <c r="C19" s="387"/>
      <c r="D19" s="388"/>
      <c r="E19" s="91">
        <f t="shared" si="7"/>
        <v>0</v>
      </c>
      <c r="F19" s="91">
        <f t="shared" si="5"/>
        <v>0</v>
      </c>
      <c r="G19" s="91">
        <f t="shared" si="5"/>
        <v>0</v>
      </c>
      <c r="H19" s="91">
        <f t="shared" si="5"/>
        <v>0</v>
      </c>
      <c r="I19" s="91">
        <f t="shared" si="5"/>
        <v>0</v>
      </c>
      <c r="J19" s="91">
        <f t="shared" si="5"/>
        <v>0</v>
      </c>
      <c r="K19" s="91">
        <f t="shared" si="6"/>
        <v>0</v>
      </c>
    </row>
    <row r="20" spans="1:18" x14ac:dyDescent="0.2">
      <c r="A20" s="90"/>
      <c r="B20" s="90"/>
      <c r="C20" s="387"/>
      <c r="D20" s="388"/>
      <c r="E20" s="91">
        <f t="shared" si="7"/>
        <v>0</v>
      </c>
      <c r="F20" s="91">
        <f t="shared" si="5"/>
        <v>0</v>
      </c>
      <c r="G20" s="91">
        <f t="shared" si="5"/>
        <v>0</v>
      </c>
      <c r="H20" s="91">
        <f t="shared" si="5"/>
        <v>0</v>
      </c>
      <c r="I20" s="91">
        <f t="shared" si="5"/>
        <v>0</v>
      </c>
      <c r="J20" s="91">
        <f t="shared" si="5"/>
        <v>0</v>
      </c>
      <c r="K20" s="91">
        <f t="shared" si="6"/>
        <v>0</v>
      </c>
    </row>
    <row r="21" spans="1:18" x14ac:dyDescent="0.2">
      <c r="A21" s="90"/>
      <c r="B21" s="90"/>
      <c r="C21" s="387"/>
      <c r="D21" s="388"/>
      <c r="E21" s="91">
        <f t="shared" si="7"/>
        <v>0</v>
      </c>
      <c r="F21" s="91">
        <f t="shared" si="5"/>
        <v>0</v>
      </c>
      <c r="G21" s="91">
        <f t="shared" si="5"/>
        <v>0</v>
      </c>
      <c r="H21" s="91">
        <f t="shared" si="5"/>
        <v>0</v>
      </c>
      <c r="I21" s="91">
        <f t="shared" si="5"/>
        <v>0</v>
      </c>
      <c r="J21" s="91">
        <f t="shared" si="5"/>
        <v>0</v>
      </c>
      <c r="K21" s="91">
        <f t="shared" si="6"/>
        <v>0</v>
      </c>
    </row>
    <row r="22" spans="1:18" x14ac:dyDescent="0.2">
      <c r="A22" s="90"/>
      <c r="B22" s="90"/>
      <c r="C22" s="387"/>
      <c r="D22" s="388"/>
      <c r="E22" s="91">
        <f t="shared" si="7"/>
        <v>0</v>
      </c>
      <c r="F22" s="91">
        <f t="shared" si="5"/>
        <v>0</v>
      </c>
      <c r="G22" s="91">
        <f t="shared" si="5"/>
        <v>0</v>
      </c>
      <c r="H22" s="91">
        <f>'11.F&amp;V Crop Production details'!H83</f>
        <v>0</v>
      </c>
      <c r="I22" s="91">
        <f t="shared" si="5"/>
        <v>0</v>
      </c>
      <c r="J22" s="91">
        <f t="shared" si="5"/>
        <v>0</v>
      </c>
      <c r="K22" s="91">
        <f t="shared" si="6"/>
        <v>0</v>
      </c>
    </row>
    <row r="23" spans="1:18" x14ac:dyDescent="0.2">
      <c r="A23" s="90"/>
      <c r="B23" s="90"/>
      <c r="C23" s="90"/>
      <c r="D23" s="91"/>
      <c r="E23" s="91">
        <f t="shared" si="7"/>
        <v>0</v>
      </c>
      <c r="F23" s="91">
        <f t="shared" si="5"/>
        <v>0</v>
      </c>
      <c r="G23" s="91">
        <f t="shared" si="5"/>
        <v>0</v>
      </c>
      <c r="H23" s="91">
        <f t="shared" si="5"/>
        <v>0</v>
      </c>
      <c r="I23" s="91">
        <f t="shared" si="5"/>
        <v>0</v>
      </c>
      <c r="J23" s="91">
        <f t="shared" si="5"/>
        <v>0</v>
      </c>
      <c r="K23" s="91">
        <f t="shared" si="6"/>
        <v>0</v>
      </c>
    </row>
    <row r="24" spans="1:18" x14ac:dyDescent="0.2">
      <c r="A24" s="92" t="s">
        <v>131</v>
      </c>
      <c r="B24" s="92"/>
      <c r="C24" s="92"/>
      <c r="D24" s="110"/>
      <c r="E24" s="110">
        <f>SUM(E8:E23)</f>
        <v>1492196</v>
      </c>
      <c r="F24" s="110">
        <f t="shared" ref="F24:K24" si="8">SUM(F8:F23)</f>
        <v>1566805.8</v>
      </c>
      <c r="G24" s="110">
        <f t="shared" si="8"/>
        <v>1645146.09</v>
      </c>
      <c r="H24" s="110">
        <f t="shared" si="8"/>
        <v>1727403.3945000002</v>
      </c>
      <c r="I24" s="110">
        <f t="shared" si="8"/>
        <v>1813773.5642250003</v>
      </c>
      <c r="J24" s="110">
        <f t="shared" si="8"/>
        <v>1904462.2424362502</v>
      </c>
      <c r="K24" s="110">
        <f t="shared" si="8"/>
        <v>1999685.3545580627</v>
      </c>
    </row>
    <row r="29" spans="1:18" x14ac:dyDescent="0.2">
      <c r="A29" s="465"/>
      <c r="B29" s="465"/>
      <c r="C29" s="465"/>
      <c r="D29" s="465"/>
      <c r="E29" s="465"/>
      <c r="F29" s="465"/>
      <c r="G29" s="465"/>
      <c r="H29" s="465"/>
      <c r="I29" s="465"/>
      <c r="J29" s="465"/>
      <c r="K29" s="465"/>
      <c r="L29" s="465"/>
      <c r="M29" s="465"/>
      <c r="N29" s="465"/>
      <c r="O29" s="465"/>
      <c r="P29" s="465"/>
    </row>
    <row r="30" spans="1:18" ht="18" x14ac:dyDescent="0.2">
      <c r="A30" s="468" t="s">
        <v>755</v>
      </c>
      <c r="B30" s="468"/>
      <c r="C30" s="468"/>
      <c r="D30" s="468"/>
      <c r="E30" s="468"/>
      <c r="F30" s="468"/>
      <c r="G30" s="468"/>
      <c r="H30" s="468"/>
      <c r="I30" s="468"/>
      <c r="J30" s="468"/>
      <c r="K30" s="468"/>
      <c r="L30" s="468"/>
      <c r="M30" s="468"/>
      <c r="N30" s="468"/>
      <c r="O30" s="468"/>
      <c r="P30" s="468"/>
      <c r="Q30" s="468"/>
      <c r="R30" s="468"/>
    </row>
    <row r="31" spans="1:18" s="12" customFormat="1" x14ac:dyDescent="0.2">
      <c r="A31" s="144"/>
      <c r="B31" s="144"/>
      <c r="C31" s="144"/>
      <c r="D31" s="144"/>
      <c r="E31" s="144"/>
      <c r="F31" s="144"/>
      <c r="G31" s="144"/>
      <c r="H31" s="144"/>
      <c r="I31" s="144"/>
      <c r="J31" s="144"/>
      <c r="K31" s="354"/>
      <c r="L31" s="144"/>
      <c r="M31" s="144"/>
      <c r="N31" s="144"/>
      <c r="O31" s="144"/>
      <c r="P31" s="144"/>
    </row>
    <row r="32" spans="1:18" x14ac:dyDescent="0.2">
      <c r="A32" s="89"/>
      <c r="B32" s="89"/>
      <c r="C32" s="466" t="s">
        <v>196</v>
      </c>
      <c r="D32" s="466"/>
      <c r="E32" s="466"/>
      <c r="F32" s="466"/>
      <c r="G32" s="466"/>
      <c r="H32" s="466"/>
      <c r="I32" s="466"/>
      <c r="J32" s="89"/>
      <c r="K32" s="89"/>
      <c r="L32" s="467" t="s">
        <v>197</v>
      </c>
      <c r="M32" s="467"/>
      <c r="N32" s="467"/>
      <c r="O32" s="467"/>
      <c r="P32" s="467"/>
      <c r="Q32" s="467"/>
      <c r="R32" s="467"/>
    </row>
    <row r="33" spans="1:18" x14ac:dyDescent="0.2">
      <c r="A33" s="164" t="s">
        <v>0</v>
      </c>
      <c r="B33" s="157"/>
      <c r="C33" s="55" t="s">
        <v>2</v>
      </c>
      <c r="D33" s="55" t="s">
        <v>3</v>
      </c>
      <c r="E33" s="55" t="s">
        <v>4</v>
      </c>
      <c r="F33" s="55" t="s">
        <v>5</v>
      </c>
      <c r="G33" s="55" t="s">
        <v>6</v>
      </c>
      <c r="H33" s="55" t="s">
        <v>170</v>
      </c>
      <c r="I33" s="55" t="s">
        <v>169</v>
      </c>
      <c r="J33" s="168"/>
      <c r="K33" s="168"/>
      <c r="L33" s="55" t="s">
        <v>2</v>
      </c>
      <c r="M33" s="55" t="s">
        <v>3</v>
      </c>
      <c r="N33" s="55" t="s">
        <v>4</v>
      </c>
      <c r="O33" s="55" t="s">
        <v>5</v>
      </c>
      <c r="P33" s="55" t="s">
        <v>6</v>
      </c>
      <c r="Q33" s="55" t="s">
        <v>170</v>
      </c>
      <c r="R33" s="55" t="s">
        <v>169</v>
      </c>
    </row>
    <row r="34" spans="1:18" x14ac:dyDescent="0.2">
      <c r="A34" s="158" t="s">
        <v>198</v>
      </c>
      <c r="B34" s="94"/>
      <c r="C34" s="94"/>
      <c r="D34" s="94"/>
      <c r="E34" s="94"/>
      <c r="F34" s="94"/>
      <c r="G34" s="159"/>
      <c r="H34" s="159"/>
      <c r="I34" s="159"/>
      <c r="J34" s="181"/>
      <c r="K34" s="181"/>
      <c r="L34" s="94"/>
      <c r="M34" s="94"/>
      <c r="N34" s="94"/>
      <c r="O34" s="94"/>
      <c r="P34" s="159"/>
      <c r="Q34" s="159"/>
      <c r="R34" s="159"/>
    </row>
    <row r="35" spans="1:18" x14ac:dyDescent="0.2">
      <c r="A35" s="158"/>
      <c r="B35" s="94"/>
      <c r="C35" s="94"/>
      <c r="D35" s="94"/>
      <c r="E35" s="94"/>
      <c r="F35" s="94"/>
      <c r="G35" s="159"/>
      <c r="H35" s="159"/>
      <c r="I35" s="159"/>
      <c r="J35" s="181"/>
      <c r="K35" s="181"/>
      <c r="L35" s="94"/>
      <c r="M35" s="94"/>
      <c r="N35" s="94"/>
      <c r="O35" s="94"/>
      <c r="P35" s="159"/>
      <c r="Q35" s="159"/>
      <c r="R35" s="159"/>
    </row>
    <row r="36" spans="1:18" x14ac:dyDescent="0.2">
      <c r="A36" s="160"/>
      <c r="B36" s="160"/>
      <c r="C36" s="94"/>
      <c r="D36" s="94"/>
      <c r="E36" s="94"/>
      <c r="F36" s="94"/>
      <c r="G36" s="94"/>
      <c r="H36" s="94"/>
      <c r="I36" s="94"/>
      <c r="J36" s="181"/>
      <c r="K36" s="181"/>
      <c r="L36" s="94"/>
      <c r="M36" s="94"/>
      <c r="N36" s="94"/>
      <c r="O36" s="94"/>
      <c r="P36" s="94"/>
      <c r="Q36" s="94"/>
      <c r="R36" s="94"/>
    </row>
    <row r="37" spans="1:18" x14ac:dyDescent="0.2">
      <c r="A37" s="161" t="s">
        <v>202</v>
      </c>
      <c r="B37" s="161"/>
      <c r="C37" s="94"/>
      <c r="D37" s="94"/>
      <c r="E37" s="94"/>
      <c r="F37" s="94"/>
      <c r="G37" s="94"/>
      <c r="H37" s="94"/>
      <c r="I37" s="94"/>
      <c r="J37" s="181"/>
      <c r="K37" s="181"/>
      <c r="L37" s="94"/>
      <c r="M37" s="94"/>
      <c r="N37" s="94"/>
      <c r="O37" s="94"/>
      <c r="P37" s="94"/>
      <c r="Q37" s="94"/>
      <c r="R37" s="94"/>
    </row>
    <row r="38" spans="1:18" x14ac:dyDescent="0.2">
      <c r="A38" s="160" t="s">
        <v>199</v>
      </c>
      <c r="B38" s="160"/>
      <c r="C38" s="162">
        <f>'1.Project Cost and MOF'!D5</f>
        <v>18391001.060000002</v>
      </c>
      <c r="D38" s="162">
        <f t="shared" ref="D38:I38" si="9">C41</f>
        <v>17808006.326398004</v>
      </c>
      <c r="E38" s="162">
        <f t="shared" si="9"/>
        <v>17225011.592796005</v>
      </c>
      <c r="F38" s="162">
        <f t="shared" si="9"/>
        <v>16642016.859194005</v>
      </c>
      <c r="G38" s="162">
        <f t="shared" si="9"/>
        <v>16059022.125592005</v>
      </c>
      <c r="H38" s="162">
        <f t="shared" si="9"/>
        <v>15476027.391990004</v>
      </c>
      <c r="I38" s="162">
        <f t="shared" si="9"/>
        <v>14893032.658388004</v>
      </c>
      <c r="J38" s="181"/>
      <c r="K38" s="181"/>
      <c r="L38" s="162">
        <f>C38</f>
        <v>18391001.060000002</v>
      </c>
      <c r="M38" s="162">
        <f>L41</f>
        <v>16551900.954000002</v>
      </c>
      <c r="N38" s="162">
        <f>M41</f>
        <v>14896710.858600002</v>
      </c>
      <c r="O38" s="162">
        <f t="shared" ref="O38:R38" si="10">N41</f>
        <v>13407039.772740001</v>
      </c>
      <c r="P38" s="162">
        <f t="shared" si="10"/>
        <v>12066335.795466</v>
      </c>
      <c r="Q38" s="162">
        <f t="shared" si="10"/>
        <v>10859702.2159194</v>
      </c>
      <c r="R38" s="162">
        <f t="shared" si="10"/>
        <v>9773731.9943274595</v>
      </c>
    </row>
    <row r="39" spans="1:18" x14ac:dyDescent="0.2">
      <c r="A39" s="160" t="s">
        <v>17</v>
      </c>
      <c r="B39" s="160"/>
      <c r="C39" s="162">
        <f t="shared" ref="C39:I39" si="11">$C$38*$B$75</f>
        <v>582994.73360200005</v>
      </c>
      <c r="D39" s="162">
        <f t="shared" si="11"/>
        <v>582994.73360200005</v>
      </c>
      <c r="E39" s="162">
        <f t="shared" si="11"/>
        <v>582994.73360200005</v>
      </c>
      <c r="F39" s="162">
        <f t="shared" si="11"/>
        <v>582994.73360200005</v>
      </c>
      <c r="G39" s="162">
        <f t="shared" si="11"/>
        <v>582994.73360200005</v>
      </c>
      <c r="H39" s="162">
        <f t="shared" si="11"/>
        <v>582994.73360200005</v>
      </c>
      <c r="I39" s="162">
        <f t="shared" si="11"/>
        <v>582994.73360200005</v>
      </c>
      <c r="J39" s="181"/>
      <c r="K39" s="181"/>
      <c r="L39" s="162">
        <f t="shared" ref="L39:R39" si="12">L38*$C$75</f>
        <v>1839100.1060000004</v>
      </c>
      <c r="M39" s="162">
        <f t="shared" si="12"/>
        <v>1655190.0954000002</v>
      </c>
      <c r="N39" s="162">
        <f>N38*$C$75</f>
        <v>1489671.0858600002</v>
      </c>
      <c r="O39" s="162">
        <f t="shared" si="12"/>
        <v>1340703.9772740002</v>
      </c>
      <c r="P39" s="162">
        <f t="shared" si="12"/>
        <v>1206633.5795466001</v>
      </c>
      <c r="Q39" s="162">
        <f t="shared" si="12"/>
        <v>1085970.2215919399</v>
      </c>
      <c r="R39" s="162">
        <f t="shared" si="12"/>
        <v>977373.19943274604</v>
      </c>
    </row>
    <row r="40" spans="1:18" x14ac:dyDescent="0.2">
      <c r="A40" s="160" t="s">
        <v>200</v>
      </c>
      <c r="B40" s="160"/>
      <c r="C40" s="162">
        <f>C39</f>
        <v>582994.73360200005</v>
      </c>
      <c r="D40" s="162">
        <f t="shared" ref="D40:I40" si="13">C40+D39</f>
        <v>1165989.4672040001</v>
      </c>
      <c r="E40" s="162">
        <f t="shared" si="13"/>
        <v>1748984.2008060003</v>
      </c>
      <c r="F40" s="162">
        <f t="shared" si="13"/>
        <v>2331978.9344080002</v>
      </c>
      <c r="G40" s="162">
        <f t="shared" si="13"/>
        <v>2914973.6680100001</v>
      </c>
      <c r="H40" s="162">
        <f t="shared" si="13"/>
        <v>3497968.4016120001</v>
      </c>
      <c r="I40" s="162">
        <f t="shared" si="13"/>
        <v>4080963.135214</v>
      </c>
      <c r="J40" s="181"/>
      <c r="K40" s="181"/>
      <c r="L40" s="162">
        <f>L39</f>
        <v>1839100.1060000004</v>
      </c>
      <c r="M40" s="162">
        <f t="shared" ref="M40:R40" si="14">L40+M39</f>
        <v>3494290.2014000006</v>
      </c>
      <c r="N40" s="162">
        <f>M40+N39</f>
        <v>4983961.2872600006</v>
      </c>
      <c r="O40" s="162">
        <f t="shared" si="14"/>
        <v>6324665.2645340003</v>
      </c>
      <c r="P40" s="162">
        <f t="shared" si="14"/>
        <v>7531298.8440806009</v>
      </c>
      <c r="Q40" s="162">
        <f t="shared" si="14"/>
        <v>8617269.065672541</v>
      </c>
      <c r="R40" s="162">
        <f t="shared" si="14"/>
        <v>9594642.2651052866</v>
      </c>
    </row>
    <row r="41" spans="1:18" x14ac:dyDescent="0.2">
      <c r="A41" s="160" t="s">
        <v>201</v>
      </c>
      <c r="B41" s="160"/>
      <c r="C41" s="162">
        <f>C38-C39</f>
        <v>17808006.326398004</v>
      </c>
      <c r="D41" s="162">
        <f t="shared" ref="D41:I41" si="15">D38-D39</f>
        <v>17225011.592796005</v>
      </c>
      <c r="E41" s="162">
        <f t="shared" si="15"/>
        <v>16642016.859194005</v>
      </c>
      <c r="F41" s="162">
        <f t="shared" si="15"/>
        <v>16059022.125592005</v>
      </c>
      <c r="G41" s="162">
        <f t="shared" si="15"/>
        <v>15476027.391990004</v>
      </c>
      <c r="H41" s="162">
        <f t="shared" si="15"/>
        <v>14893032.658388004</v>
      </c>
      <c r="I41" s="162">
        <f t="shared" si="15"/>
        <v>14310037.924786003</v>
      </c>
      <c r="J41" s="181"/>
      <c r="K41" s="181"/>
      <c r="L41" s="162">
        <f t="shared" ref="L41:R41" si="16">L38-L39</f>
        <v>16551900.954000002</v>
      </c>
      <c r="M41" s="162">
        <f t="shared" si="16"/>
        <v>14896710.858600002</v>
      </c>
      <c r="N41" s="162">
        <f>N38-N39</f>
        <v>13407039.772740001</v>
      </c>
      <c r="O41" s="162">
        <f t="shared" si="16"/>
        <v>12066335.795466</v>
      </c>
      <c r="P41" s="162">
        <f t="shared" si="16"/>
        <v>10859702.2159194</v>
      </c>
      <c r="Q41" s="162">
        <f t="shared" si="16"/>
        <v>9773731.9943274595</v>
      </c>
      <c r="R41" s="162">
        <f t="shared" si="16"/>
        <v>8796358.7948947139</v>
      </c>
    </row>
    <row r="42" spans="1:18" x14ac:dyDescent="0.2">
      <c r="A42" s="160"/>
      <c r="B42" s="160"/>
      <c r="C42" s="162"/>
      <c r="D42" s="162"/>
      <c r="E42" s="162"/>
      <c r="F42" s="162"/>
      <c r="G42" s="162"/>
      <c r="H42" s="162"/>
      <c r="I42" s="162"/>
      <c r="J42" s="181"/>
      <c r="K42" s="181"/>
      <c r="L42" s="162"/>
      <c r="M42" s="162"/>
      <c r="N42" s="162"/>
      <c r="O42" s="162"/>
      <c r="P42" s="162"/>
      <c r="Q42" s="162"/>
      <c r="R42" s="162"/>
    </row>
    <row r="43" spans="1:18" x14ac:dyDescent="0.2">
      <c r="A43" s="161" t="s">
        <v>203</v>
      </c>
      <c r="B43" s="161"/>
      <c r="C43" s="162"/>
      <c r="D43" s="162"/>
      <c r="E43" s="162"/>
      <c r="F43" s="162"/>
      <c r="G43" s="162"/>
      <c r="H43" s="162"/>
      <c r="I43" s="162"/>
      <c r="J43" s="181"/>
      <c r="K43" s="181"/>
      <c r="L43" s="162"/>
      <c r="M43" s="162"/>
      <c r="N43" s="162"/>
      <c r="O43" s="162"/>
      <c r="P43" s="162"/>
      <c r="Q43" s="162"/>
      <c r="R43" s="162"/>
    </row>
    <row r="44" spans="1:18" x14ac:dyDescent="0.2">
      <c r="A44" s="160" t="s">
        <v>199</v>
      </c>
      <c r="B44" s="160"/>
      <c r="C44" s="162">
        <f>'1.Project Cost and MOF'!D6</f>
        <v>5999250</v>
      </c>
      <c r="D44" s="162">
        <f t="shared" ref="D44:I44" si="17">C47</f>
        <v>5619497.4749999996</v>
      </c>
      <c r="E44" s="162">
        <f t="shared" si="17"/>
        <v>5239744.9499999993</v>
      </c>
      <c r="F44" s="162">
        <f t="shared" si="17"/>
        <v>4859992.4249999989</v>
      </c>
      <c r="G44" s="162">
        <f t="shared" si="17"/>
        <v>4480239.8999999985</v>
      </c>
      <c r="H44" s="162">
        <f t="shared" si="17"/>
        <v>4100487.3749999986</v>
      </c>
      <c r="I44" s="162">
        <f t="shared" si="17"/>
        <v>3720734.8499999987</v>
      </c>
      <c r="J44" s="181"/>
      <c r="K44" s="181"/>
      <c r="L44" s="162">
        <f>C44</f>
        <v>5999250</v>
      </c>
      <c r="M44" s="162">
        <f t="shared" ref="M44:R44" si="18">L47</f>
        <v>5099362.5</v>
      </c>
      <c r="N44" s="162">
        <f t="shared" si="18"/>
        <v>4334458.125</v>
      </c>
      <c r="O44" s="162">
        <f t="shared" si="18"/>
        <v>3684289.40625</v>
      </c>
      <c r="P44" s="162">
        <f t="shared" si="18"/>
        <v>3131645.9953124998</v>
      </c>
      <c r="Q44" s="162">
        <f t="shared" si="18"/>
        <v>2661899.0960156247</v>
      </c>
      <c r="R44" s="162">
        <f t="shared" si="18"/>
        <v>2262614.2316132812</v>
      </c>
    </row>
    <row r="45" spans="1:18" x14ac:dyDescent="0.2">
      <c r="A45" s="160" t="s">
        <v>17</v>
      </c>
      <c r="B45" s="160"/>
      <c r="C45" s="162">
        <f t="shared" ref="C45:I45" si="19">$C$44*$B$79</f>
        <v>379752.52499999997</v>
      </c>
      <c r="D45" s="162">
        <f t="shared" si="19"/>
        <v>379752.52499999997</v>
      </c>
      <c r="E45" s="162">
        <f t="shared" si="19"/>
        <v>379752.52499999997</v>
      </c>
      <c r="F45" s="162">
        <f t="shared" si="19"/>
        <v>379752.52499999997</v>
      </c>
      <c r="G45" s="162">
        <f t="shared" si="19"/>
        <v>379752.52499999997</v>
      </c>
      <c r="H45" s="162">
        <f t="shared" si="19"/>
        <v>379752.52499999997</v>
      </c>
      <c r="I45" s="162">
        <f t="shared" si="19"/>
        <v>379752.52499999997</v>
      </c>
      <c r="J45" s="181"/>
      <c r="K45" s="181"/>
      <c r="L45" s="162">
        <f t="shared" ref="L45:R45" si="20">L44*$C$79</f>
        <v>899887.5</v>
      </c>
      <c r="M45" s="162">
        <f t="shared" si="20"/>
        <v>764904.375</v>
      </c>
      <c r="N45" s="162">
        <f t="shared" si="20"/>
        <v>650168.71875</v>
      </c>
      <c r="O45" s="162">
        <f t="shared" si="20"/>
        <v>552643.41093749995</v>
      </c>
      <c r="P45" s="162">
        <f t="shared" si="20"/>
        <v>469746.89929687494</v>
      </c>
      <c r="Q45" s="162">
        <f t="shared" si="20"/>
        <v>399284.86440234369</v>
      </c>
      <c r="R45" s="162">
        <f t="shared" si="20"/>
        <v>339392.13474199217</v>
      </c>
    </row>
    <row r="46" spans="1:18" x14ac:dyDescent="0.2">
      <c r="A46" s="160" t="s">
        <v>200</v>
      </c>
      <c r="B46" s="160"/>
      <c r="C46" s="162">
        <f>C45</f>
        <v>379752.52499999997</v>
      </c>
      <c r="D46" s="162">
        <f t="shared" ref="D46:I46" si="21">C46+D45</f>
        <v>759505.04999999993</v>
      </c>
      <c r="E46" s="162">
        <f t="shared" si="21"/>
        <v>1139257.575</v>
      </c>
      <c r="F46" s="162">
        <f t="shared" si="21"/>
        <v>1519010.0999999999</v>
      </c>
      <c r="G46" s="162">
        <f t="shared" si="21"/>
        <v>1898762.6249999998</v>
      </c>
      <c r="H46" s="162">
        <f t="shared" si="21"/>
        <v>2278515.15</v>
      </c>
      <c r="I46" s="162">
        <f t="shared" si="21"/>
        <v>2658267.6749999998</v>
      </c>
      <c r="J46" s="181"/>
      <c r="K46" s="181"/>
      <c r="L46" s="162">
        <f>L45</f>
        <v>899887.5</v>
      </c>
      <c r="M46" s="162">
        <f t="shared" ref="M46:R46" si="22">L46+M45</f>
        <v>1664791.875</v>
      </c>
      <c r="N46" s="162">
        <f t="shared" si="22"/>
        <v>2314960.59375</v>
      </c>
      <c r="O46" s="162">
        <f t="shared" si="22"/>
        <v>2867604.0046875002</v>
      </c>
      <c r="P46" s="162">
        <f t="shared" si="22"/>
        <v>3337350.9039843753</v>
      </c>
      <c r="Q46" s="162">
        <f t="shared" si="22"/>
        <v>3736635.7683867188</v>
      </c>
      <c r="R46" s="162">
        <f t="shared" si="22"/>
        <v>4076027.903128711</v>
      </c>
    </row>
    <row r="47" spans="1:18" x14ac:dyDescent="0.2">
      <c r="A47" s="160" t="s">
        <v>201</v>
      </c>
      <c r="B47" s="160"/>
      <c r="C47" s="162">
        <f t="shared" ref="C47:I47" si="23">C44-C45</f>
        <v>5619497.4749999996</v>
      </c>
      <c r="D47" s="162">
        <f t="shared" si="23"/>
        <v>5239744.9499999993</v>
      </c>
      <c r="E47" s="162">
        <f t="shared" si="23"/>
        <v>4859992.4249999989</v>
      </c>
      <c r="F47" s="162">
        <f t="shared" si="23"/>
        <v>4480239.8999999985</v>
      </c>
      <c r="G47" s="162">
        <f t="shared" si="23"/>
        <v>4100487.3749999986</v>
      </c>
      <c r="H47" s="162">
        <f t="shared" si="23"/>
        <v>3720734.8499999987</v>
      </c>
      <c r="I47" s="162">
        <f t="shared" si="23"/>
        <v>3340982.3249999988</v>
      </c>
      <c r="J47" s="181"/>
      <c r="K47" s="181"/>
      <c r="L47" s="162">
        <f t="shared" ref="L47:R47" si="24">L44-L45</f>
        <v>5099362.5</v>
      </c>
      <c r="M47" s="162">
        <f t="shared" si="24"/>
        <v>4334458.125</v>
      </c>
      <c r="N47" s="162">
        <f t="shared" si="24"/>
        <v>3684289.40625</v>
      </c>
      <c r="O47" s="162">
        <f t="shared" si="24"/>
        <v>3131645.9953124998</v>
      </c>
      <c r="P47" s="162">
        <f t="shared" si="24"/>
        <v>2661899.0960156247</v>
      </c>
      <c r="Q47" s="162">
        <f t="shared" si="24"/>
        <v>2262614.2316132812</v>
      </c>
      <c r="R47" s="162">
        <f t="shared" si="24"/>
        <v>1923222.096871289</v>
      </c>
    </row>
    <row r="48" spans="1:18" x14ac:dyDescent="0.2">
      <c r="A48" s="160"/>
      <c r="B48" s="160"/>
      <c r="C48" s="162"/>
      <c r="D48" s="162"/>
      <c r="E48" s="162"/>
      <c r="F48" s="162"/>
      <c r="G48" s="162"/>
      <c r="H48" s="162"/>
      <c r="I48" s="162"/>
      <c r="J48" s="181"/>
      <c r="K48" s="181"/>
      <c r="L48" s="162"/>
      <c r="M48" s="162"/>
      <c r="N48" s="162"/>
      <c r="O48" s="162"/>
      <c r="P48" s="162"/>
      <c r="Q48" s="162"/>
      <c r="R48" s="162"/>
    </row>
    <row r="49" spans="1:18" x14ac:dyDescent="0.2">
      <c r="A49" s="161" t="s">
        <v>204</v>
      </c>
      <c r="B49" s="161"/>
      <c r="C49" s="162"/>
      <c r="D49" s="162"/>
      <c r="E49" s="162"/>
      <c r="F49" s="162"/>
      <c r="G49" s="162"/>
      <c r="H49" s="162"/>
      <c r="I49" s="162"/>
      <c r="J49" s="181"/>
      <c r="K49" s="181"/>
      <c r="L49" s="162"/>
      <c r="M49" s="162"/>
      <c r="N49" s="162"/>
      <c r="O49" s="162"/>
      <c r="P49" s="162"/>
      <c r="Q49" s="162"/>
      <c r="R49" s="162"/>
    </row>
    <row r="50" spans="1:18" x14ac:dyDescent="0.2">
      <c r="A50" s="160" t="s">
        <v>199</v>
      </c>
      <c r="B50" s="160"/>
      <c r="C50" s="162">
        <f>'1.Project Cost and MOF'!D7</f>
        <v>0</v>
      </c>
      <c r="D50" s="162">
        <f t="shared" ref="D50:I50" si="25">C53</f>
        <v>0</v>
      </c>
      <c r="E50" s="162">
        <f t="shared" si="25"/>
        <v>0</v>
      </c>
      <c r="F50" s="162">
        <f t="shared" si="25"/>
        <v>0</v>
      </c>
      <c r="G50" s="162">
        <f t="shared" si="25"/>
        <v>0</v>
      </c>
      <c r="H50" s="162">
        <f t="shared" si="25"/>
        <v>0</v>
      </c>
      <c r="I50" s="162">
        <f t="shared" si="25"/>
        <v>0</v>
      </c>
      <c r="J50" s="181"/>
      <c r="K50" s="181"/>
      <c r="L50" s="162">
        <f>C50</f>
        <v>0</v>
      </c>
      <c r="M50" s="162">
        <f t="shared" ref="M50:R50" si="26">L53</f>
        <v>0</v>
      </c>
      <c r="N50" s="162">
        <f t="shared" si="26"/>
        <v>0</v>
      </c>
      <c r="O50" s="162">
        <f t="shared" si="26"/>
        <v>0</v>
      </c>
      <c r="P50" s="162">
        <f t="shared" si="26"/>
        <v>0</v>
      </c>
      <c r="Q50" s="162">
        <f t="shared" si="26"/>
        <v>0</v>
      </c>
      <c r="R50" s="162">
        <f t="shared" si="26"/>
        <v>0</v>
      </c>
    </row>
    <row r="51" spans="1:18" x14ac:dyDescent="0.2">
      <c r="A51" s="160" t="s">
        <v>17</v>
      </c>
      <c r="B51" s="160"/>
      <c r="C51" s="162">
        <f t="shared" ref="C51:I51" si="27">$C$50*$B$76</f>
        <v>0</v>
      </c>
      <c r="D51" s="162">
        <f t="shared" si="27"/>
        <v>0</v>
      </c>
      <c r="E51" s="162">
        <f t="shared" si="27"/>
        <v>0</v>
      </c>
      <c r="F51" s="162">
        <f t="shared" si="27"/>
        <v>0</v>
      </c>
      <c r="G51" s="162">
        <f t="shared" si="27"/>
        <v>0</v>
      </c>
      <c r="H51" s="162">
        <f t="shared" si="27"/>
        <v>0</v>
      </c>
      <c r="I51" s="162">
        <f t="shared" si="27"/>
        <v>0</v>
      </c>
      <c r="J51" s="181"/>
      <c r="K51" s="181"/>
      <c r="L51" s="162">
        <f t="shared" ref="L51:R51" si="28">L50*$C$76</f>
        <v>0</v>
      </c>
      <c r="M51" s="162">
        <f t="shared" si="28"/>
        <v>0</v>
      </c>
      <c r="N51" s="162">
        <f t="shared" si="28"/>
        <v>0</v>
      </c>
      <c r="O51" s="162">
        <f t="shared" si="28"/>
        <v>0</v>
      </c>
      <c r="P51" s="162">
        <f t="shared" si="28"/>
        <v>0</v>
      </c>
      <c r="Q51" s="162">
        <f t="shared" si="28"/>
        <v>0</v>
      </c>
      <c r="R51" s="162">
        <f t="shared" si="28"/>
        <v>0</v>
      </c>
    </row>
    <row r="52" spans="1:18" x14ac:dyDescent="0.2">
      <c r="A52" s="160" t="s">
        <v>200</v>
      </c>
      <c r="B52" s="160"/>
      <c r="C52" s="162">
        <f>C51</f>
        <v>0</v>
      </c>
      <c r="D52" s="162">
        <f t="shared" ref="D52:I52" si="29">C52+D51</f>
        <v>0</v>
      </c>
      <c r="E52" s="162">
        <f t="shared" si="29"/>
        <v>0</v>
      </c>
      <c r="F52" s="162">
        <f t="shared" si="29"/>
        <v>0</v>
      </c>
      <c r="G52" s="162">
        <f t="shared" si="29"/>
        <v>0</v>
      </c>
      <c r="H52" s="162">
        <f t="shared" si="29"/>
        <v>0</v>
      </c>
      <c r="I52" s="162">
        <f t="shared" si="29"/>
        <v>0</v>
      </c>
      <c r="J52" s="181"/>
      <c r="K52" s="181"/>
      <c r="L52" s="162">
        <f>L51</f>
        <v>0</v>
      </c>
      <c r="M52" s="162">
        <f t="shared" ref="M52:R52" si="30">L52+M51</f>
        <v>0</v>
      </c>
      <c r="N52" s="162">
        <f t="shared" si="30"/>
        <v>0</v>
      </c>
      <c r="O52" s="162">
        <f t="shared" si="30"/>
        <v>0</v>
      </c>
      <c r="P52" s="162">
        <f t="shared" si="30"/>
        <v>0</v>
      </c>
      <c r="Q52" s="162">
        <f t="shared" si="30"/>
        <v>0</v>
      </c>
      <c r="R52" s="162">
        <f t="shared" si="30"/>
        <v>0</v>
      </c>
    </row>
    <row r="53" spans="1:18" x14ac:dyDescent="0.2">
      <c r="A53" s="160" t="s">
        <v>201</v>
      </c>
      <c r="B53" s="160"/>
      <c r="C53" s="162">
        <f t="shared" ref="C53:I53" si="31">C50-C51</f>
        <v>0</v>
      </c>
      <c r="D53" s="162">
        <f t="shared" si="31"/>
        <v>0</v>
      </c>
      <c r="E53" s="162">
        <f t="shared" si="31"/>
        <v>0</v>
      </c>
      <c r="F53" s="162">
        <f t="shared" si="31"/>
        <v>0</v>
      </c>
      <c r="G53" s="162">
        <f t="shared" si="31"/>
        <v>0</v>
      </c>
      <c r="H53" s="162">
        <f t="shared" si="31"/>
        <v>0</v>
      </c>
      <c r="I53" s="162">
        <f t="shared" si="31"/>
        <v>0</v>
      </c>
      <c r="J53" s="181"/>
      <c r="K53" s="181"/>
      <c r="L53" s="162">
        <f t="shared" ref="L53:R53" si="32">L50-L51</f>
        <v>0</v>
      </c>
      <c r="M53" s="162">
        <f t="shared" si="32"/>
        <v>0</v>
      </c>
      <c r="N53" s="162">
        <f t="shared" si="32"/>
        <v>0</v>
      </c>
      <c r="O53" s="162">
        <f t="shared" si="32"/>
        <v>0</v>
      </c>
      <c r="P53" s="162">
        <f t="shared" si="32"/>
        <v>0</v>
      </c>
      <c r="Q53" s="162">
        <f t="shared" si="32"/>
        <v>0</v>
      </c>
      <c r="R53" s="162">
        <f t="shared" si="32"/>
        <v>0</v>
      </c>
    </row>
    <row r="54" spans="1:18" x14ac:dyDescent="0.2">
      <c r="A54" s="160"/>
      <c r="B54" s="160"/>
      <c r="C54" s="162"/>
      <c r="D54" s="162"/>
      <c r="E54" s="162"/>
      <c r="F54" s="162"/>
      <c r="G54" s="162"/>
      <c r="H54" s="162"/>
      <c r="I54" s="162"/>
      <c r="J54" s="181"/>
      <c r="K54" s="181"/>
      <c r="L54" s="162"/>
      <c r="M54" s="162"/>
      <c r="N54" s="162"/>
      <c r="O54" s="162"/>
      <c r="P54" s="162"/>
      <c r="Q54" s="162"/>
      <c r="R54" s="162"/>
    </row>
    <row r="55" spans="1:18" x14ac:dyDescent="0.2">
      <c r="A55" s="161" t="s">
        <v>160</v>
      </c>
      <c r="B55" s="161"/>
      <c r="C55" s="162"/>
      <c r="D55" s="162"/>
      <c r="E55" s="162"/>
      <c r="F55" s="162"/>
      <c r="G55" s="162"/>
      <c r="H55" s="162"/>
      <c r="I55" s="162"/>
      <c r="J55" s="181"/>
      <c r="K55" s="181"/>
      <c r="L55" s="162"/>
      <c r="M55" s="162"/>
      <c r="N55" s="162"/>
      <c r="O55" s="162"/>
      <c r="P55" s="162"/>
      <c r="Q55" s="162"/>
      <c r="R55" s="162"/>
    </row>
    <row r="56" spans="1:18" x14ac:dyDescent="0.2">
      <c r="A56" s="160" t="s">
        <v>199</v>
      </c>
      <c r="B56" s="160"/>
      <c r="C56" s="162">
        <f>'1.Project Cost and MOF'!D9</f>
        <v>0</v>
      </c>
      <c r="D56" s="162">
        <f t="shared" ref="D56:I56" si="33">C59</f>
        <v>0</v>
      </c>
      <c r="E56" s="162">
        <f t="shared" si="33"/>
        <v>0</v>
      </c>
      <c r="F56" s="162">
        <f t="shared" si="33"/>
        <v>0</v>
      </c>
      <c r="G56" s="162">
        <f t="shared" si="33"/>
        <v>0</v>
      </c>
      <c r="H56" s="162">
        <f t="shared" si="33"/>
        <v>0</v>
      </c>
      <c r="I56" s="162">
        <f t="shared" si="33"/>
        <v>0</v>
      </c>
      <c r="J56" s="181"/>
      <c r="K56" s="181"/>
      <c r="L56" s="162">
        <f>C56</f>
        <v>0</v>
      </c>
      <c r="M56" s="162">
        <f t="shared" ref="M56:R56" si="34">L59</f>
        <v>0</v>
      </c>
      <c r="N56" s="162">
        <f t="shared" si="34"/>
        <v>0</v>
      </c>
      <c r="O56" s="162">
        <f t="shared" si="34"/>
        <v>0</v>
      </c>
      <c r="P56" s="162">
        <f t="shared" si="34"/>
        <v>0</v>
      </c>
      <c r="Q56" s="162">
        <f t="shared" si="34"/>
        <v>0</v>
      </c>
      <c r="R56" s="162">
        <f t="shared" si="34"/>
        <v>0</v>
      </c>
    </row>
    <row r="57" spans="1:18" x14ac:dyDescent="0.2">
      <c r="A57" s="160" t="s">
        <v>17</v>
      </c>
      <c r="B57" s="160"/>
      <c r="C57" s="162">
        <f t="shared" ref="C57:I57" si="35">$C$56*$B$78</f>
        <v>0</v>
      </c>
      <c r="D57" s="162">
        <f t="shared" si="35"/>
        <v>0</v>
      </c>
      <c r="E57" s="162">
        <f t="shared" si="35"/>
        <v>0</v>
      </c>
      <c r="F57" s="162">
        <f t="shared" si="35"/>
        <v>0</v>
      </c>
      <c r="G57" s="162">
        <f t="shared" si="35"/>
        <v>0</v>
      </c>
      <c r="H57" s="162">
        <f t="shared" si="35"/>
        <v>0</v>
      </c>
      <c r="I57" s="162">
        <f t="shared" si="35"/>
        <v>0</v>
      </c>
      <c r="J57" s="181"/>
      <c r="K57" s="181"/>
      <c r="L57" s="162">
        <f t="shared" ref="L57:R57" si="36">L56*$C$78</f>
        <v>0</v>
      </c>
      <c r="M57" s="162">
        <f t="shared" si="36"/>
        <v>0</v>
      </c>
      <c r="N57" s="162">
        <f t="shared" si="36"/>
        <v>0</v>
      </c>
      <c r="O57" s="162">
        <f t="shared" si="36"/>
        <v>0</v>
      </c>
      <c r="P57" s="162">
        <f t="shared" si="36"/>
        <v>0</v>
      </c>
      <c r="Q57" s="162">
        <f t="shared" si="36"/>
        <v>0</v>
      </c>
      <c r="R57" s="162">
        <f t="shared" si="36"/>
        <v>0</v>
      </c>
    </row>
    <row r="58" spans="1:18" x14ac:dyDescent="0.2">
      <c r="A58" s="160" t="s">
        <v>200</v>
      </c>
      <c r="B58" s="160"/>
      <c r="C58" s="162">
        <f>C57</f>
        <v>0</v>
      </c>
      <c r="D58" s="162">
        <f t="shared" ref="D58:I58" si="37">C58+D57</f>
        <v>0</v>
      </c>
      <c r="E58" s="162">
        <f t="shared" si="37"/>
        <v>0</v>
      </c>
      <c r="F58" s="162">
        <f t="shared" si="37"/>
        <v>0</v>
      </c>
      <c r="G58" s="162">
        <f t="shared" si="37"/>
        <v>0</v>
      </c>
      <c r="H58" s="162">
        <f t="shared" si="37"/>
        <v>0</v>
      </c>
      <c r="I58" s="162">
        <f t="shared" si="37"/>
        <v>0</v>
      </c>
      <c r="J58" s="181"/>
      <c r="K58" s="181"/>
      <c r="L58" s="162">
        <f>L57</f>
        <v>0</v>
      </c>
      <c r="M58" s="162">
        <f t="shared" ref="M58:R58" si="38">L58+M57</f>
        <v>0</v>
      </c>
      <c r="N58" s="162">
        <f t="shared" si="38"/>
        <v>0</v>
      </c>
      <c r="O58" s="162">
        <f t="shared" si="38"/>
        <v>0</v>
      </c>
      <c r="P58" s="162">
        <f t="shared" si="38"/>
        <v>0</v>
      </c>
      <c r="Q58" s="162">
        <f t="shared" si="38"/>
        <v>0</v>
      </c>
      <c r="R58" s="162">
        <f t="shared" si="38"/>
        <v>0</v>
      </c>
    </row>
    <row r="59" spans="1:18" x14ac:dyDescent="0.2">
      <c r="A59" s="160" t="s">
        <v>201</v>
      </c>
      <c r="B59" s="160"/>
      <c r="C59" s="162">
        <f t="shared" ref="C59:I59" si="39">C56-C57</f>
        <v>0</v>
      </c>
      <c r="D59" s="162">
        <f t="shared" si="39"/>
        <v>0</v>
      </c>
      <c r="E59" s="162">
        <f t="shared" si="39"/>
        <v>0</v>
      </c>
      <c r="F59" s="162">
        <f t="shared" si="39"/>
        <v>0</v>
      </c>
      <c r="G59" s="162">
        <f t="shared" si="39"/>
        <v>0</v>
      </c>
      <c r="H59" s="162">
        <f t="shared" si="39"/>
        <v>0</v>
      </c>
      <c r="I59" s="162">
        <f t="shared" si="39"/>
        <v>0</v>
      </c>
      <c r="J59" s="181"/>
      <c r="K59" s="181"/>
      <c r="L59" s="162">
        <f t="shared" ref="L59:R59" si="40">L56-L57</f>
        <v>0</v>
      </c>
      <c r="M59" s="162">
        <f t="shared" si="40"/>
        <v>0</v>
      </c>
      <c r="N59" s="162">
        <f t="shared" si="40"/>
        <v>0</v>
      </c>
      <c r="O59" s="162">
        <f t="shared" si="40"/>
        <v>0</v>
      </c>
      <c r="P59" s="162">
        <f t="shared" si="40"/>
        <v>0</v>
      </c>
      <c r="Q59" s="162">
        <f t="shared" si="40"/>
        <v>0</v>
      </c>
      <c r="R59" s="162">
        <f t="shared" si="40"/>
        <v>0</v>
      </c>
    </row>
    <row r="60" spans="1:18" x14ac:dyDescent="0.2">
      <c r="A60" s="160"/>
      <c r="B60" s="160"/>
      <c r="C60" s="162"/>
      <c r="D60" s="162"/>
      <c r="E60" s="162"/>
      <c r="F60" s="162"/>
      <c r="G60" s="162"/>
      <c r="H60" s="162"/>
      <c r="I60" s="162"/>
      <c r="J60" s="181"/>
      <c r="K60" s="181"/>
      <c r="L60" s="162"/>
      <c r="M60" s="162"/>
      <c r="N60" s="162"/>
      <c r="O60" s="162"/>
      <c r="P60" s="162"/>
      <c r="Q60" s="162"/>
      <c r="R60" s="162"/>
    </row>
    <row r="61" spans="1:18" x14ac:dyDescent="0.2">
      <c r="A61" s="301" t="s">
        <v>334</v>
      </c>
      <c r="B61" s="160"/>
      <c r="C61" s="162"/>
      <c r="D61" s="162"/>
      <c r="E61" s="162"/>
      <c r="F61" s="162"/>
      <c r="G61" s="162"/>
      <c r="H61" s="162"/>
      <c r="I61" s="162"/>
      <c r="J61" s="181"/>
      <c r="K61" s="181"/>
      <c r="L61" s="162"/>
      <c r="M61" s="162"/>
      <c r="N61" s="162"/>
      <c r="O61" s="162"/>
      <c r="P61" s="162"/>
      <c r="Q61" s="162"/>
      <c r="R61" s="162"/>
    </row>
    <row r="62" spans="1:18" x14ac:dyDescent="0.2">
      <c r="A62" s="160" t="str">
        <f>A56</f>
        <v>Asset Value</v>
      </c>
      <c r="B62" s="160"/>
      <c r="C62" s="162">
        <f>'1.Project Cost and MOF'!D8</f>
        <v>171340</v>
      </c>
      <c r="D62" s="162">
        <f t="shared" ref="D62:I62" si="41">C65</f>
        <v>154206</v>
      </c>
      <c r="E62" s="162">
        <f t="shared" si="41"/>
        <v>137072</v>
      </c>
      <c r="F62" s="162">
        <f t="shared" si="41"/>
        <v>119938</v>
      </c>
      <c r="G62" s="162">
        <f t="shared" si="41"/>
        <v>102804</v>
      </c>
      <c r="H62" s="162">
        <f t="shared" si="41"/>
        <v>85670</v>
      </c>
      <c r="I62" s="162">
        <f t="shared" si="41"/>
        <v>68536</v>
      </c>
      <c r="J62" s="181"/>
      <c r="K62" s="181"/>
      <c r="L62" s="162">
        <f>C62</f>
        <v>171340</v>
      </c>
      <c r="M62" s="162">
        <f t="shared" ref="M62:R62" si="42">L65</f>
        <v>102804</v>
      </c>
      <c r="N62" s="162">
        <f t="shared" si="42"/>
        <v>61682.399999999994</v>
      </c>
      <c r="O62" s="162">
        <f t="shared" si="42"/>
        <v>37009.439999999995</v>
      </c>
      <c r="P62" s="162">
        <f t="shared" si="42"/>
        <v>22205.663999999997</v>
      </c>
      <c r="Q62" s="162">
        <f t="shared" si="42"/>
        <v>13323.398399999998</v>
      </c>
      <c r="R62" s="162">
        <f t="shared" si="42"/>
        <v>7994.0390399999987</v>
      </c>
    </row>
    <row r="63" spans="1:18" x14ac:dyDescent="0.2">
      <c r="A63" s="160" t="str">
        <f>A57</f>
        <v>Depreciation</v>
      </c>
      <c r="B63" s="160"/>
      <c r="C63" s="162">
        <f t="shared" ref="C63:I63" si="43">$C$62*$B$77</f>
        <v>17134</v>
      </c>
      <c r="D63" s="162">
        <f t="shared" si="43"/>
        <v>17134</v>
      </c>
      <c r="E63" s="162">
        <f t="shared" si="43"/>
        <v>17134</v>
      </c>
      <c r="F63" s="162">
        <f t="shared" si="43"/>
        <v>17134</v>
      </c>
      <c r="G63" s="162">
        <f t="shared" si="43"/>
        <v>17134</v>
      </c>
      <c r="H63" s="162">
        <f t="shared" si="43"/>
        <v>17134</v>
      </c>
      <c r="I63" s="162">
        <f t="shared" si="43"/>
        <v>17134</v>
      </c>
      <c r="J63" s="181"/>
      <c r="K63" s="181"/>
      <c r="L63" s="162">
        <f t="shared" ref="L63:R63" si="44">L62*$C$77</f>
        <v>68536</v>
      </c>
      <c r="M63" s="162">
        <f t="shared" si="44"/>
        <v>41121.600000000006</v>
      </c>
      <c r="N63" s="162">
        <f t="shared" si="44"/>
        <v>24672.959999999999</v>
      </c>
      <c r="O63" s="162">
        <f t="shared" si="44"/>
        <v>14803.775999999998</v>
      </c>
      <c r="P63" s="162">
        <f t="shared" si="44"/>
        <v>8882.2655999999988</v>
      </c>
      <c r="Q63" s="162">
        <f t="shared" si="44"/>
        <v>5329.3593599999995</v>
      </c>
      <c r="R63" s="162">
        <f t="shared" si="44"/>
        <v>3197.6156159999996</v>
      </c>
    </row>
    <row r="64" spans="1:18" x14ac:dyDescent="0.2">
      <c r="A64" s="160" t="str">
        <f>A58</f>
        <v>Accumulated Depreciation</v>
      </c>
      <c r="B64" s="160"/>
      <c r="C64" s="162">
        <f>C63</f>
        <v>17134</v>
      </c>
      <c r="D64" s="162">
        <f t="shared" ref="D64:I64" si="45">D63+C64</f>
        <v>34268</v>
      </c>
      <c r="E64" s="162">
        <f t="shared" si="45"/>
        <v>51402</v>
      </c>
      <c r="F64" s="162">
        <f t="shared" si="45"/>
        <v>68536</v>
      </c>
      <c r="G64" s="162">
        <f t="shared" si="45"/>
        <v>85670</v>
      </c>
      <c r="H64" s="162">
        <f t="shared" si="45"/>
        <v>102804</v>
      </c>
      <c r="I64" s="162">
        <f t="shared" si="45"/>
        <v>119938</v>
      </c>
      <c r="J64" s="181"/>
      <c r="K64" s="181"/>
      <c r="L64" s="162">
        <f>L63</f>
        <v>68536</v>
      </c>
      <c r="M64" s="162">
        <f t="shared" ref="M64:R64" si="46">M63+L64</f>
        <v>109657.60000000001</v>
      </c>
      <c r="N64" s="162">
        <f t="shared" si="46"/>
        <v>134330.56</v>
      </c>
      <c r="O64" s="162">
        <f t="shared" si="46"/>
        <v>149134.33600000001</v>
      </c>
      <c r="P64" s="162">
        <f t="shared" si="46"/>
        <v>158016.60159999999</v>
      </c>
      <c r="Q64" s="162">
        <f t="shared" si="46"/>
        <v>163345.96096</v>
      </c>
      <c r="R64" s="162">
        <f t="shared" si="46"/>
        <v>166543.57657599999</v>
      </c>
    </row>
    <row r="65" spans="1:18" x14ac:dyDescent="0.2">
      <c r="A65" s="160" t="str">
        <f>A59</f>
        <v>Net Fixed Assets</v>
      </c>
      <c r="B65" s="160"/>
      <c r="C65" s="162">
        <f t="shared" ref="C65:I65" si="47">C62-C63</f>
        <v>154206</v>
      </c>
      <c r="D65" s="162">
        <f t="shared" si="47"/>
        <v>137072</v>
      </c>
      <c r="E65" s="162">
        <f t="shared" si="47"/>
        <v>119938</v>
      </c>
      <c r="F65" s="162">
        <f t="shared" si="47"/>
        <v>102804</v>
      </c>
      <c r="G65" s="162">
        <f t="shared" si="47"/>
        <v>85670</v>
      </c>
      <c r="H65" s="162">
        <f t="shared" si="47"/>
        <v>68536</v>
      </c>
      <c r="I65" s="162">
        <f t="shared" si="47"/>
        <v>51402</v>
      </c>
      <c r="J65" s="181"/>
      <c r="K65" s="181"/>
      <c r="L65" s="162">
        <f t="shared" ref="L65:R65" si="48">L62-L63</f>
        <v>102804</v>
      </c>
      <c r="M65" s="162">
        <f t="shared" si="48"/>
        <v>61682.399999999994</v>
      </c>
      <c r="N65" s="162">
        <f t="shared" si="48"/>
        <v>37009.439999999995</v>
      </c>
      <c r="O65" s="162">
        <f t="shared" si="48"/>
        <v>22205.663999999997</v>
      </c>
      <c r="P65" s="162">
        <f t="shared" si="48"/>
        <v>13323.398399999998</v>
      </c>
      <c r="Q65" s="162">
        <f t="shared" si="48"/>
        <v>7994.0390399999987</v>
      </c>
      <c r="R65" s="162">
        <f t="shared" si="48"/>
        <v>4796.4234239999987</v>
      </c>
    </row>
    <row r="66" spans="1:18" x14ac:dyDescent="0.2">
      <c r="A66" s="161" t="s">
        <v>205</v>
      </c>
      <c r="B66" s="161"/>
      <c r="C66" s="163">
        <f t="shared" ref="C66:I69" si="49">C50+C44+C38+C56+C62</f>
        <v>24561591.060000002</v>
      </c>
      <c r="D66" s="163">
        <f t="shared" si="49"/>
        <v>23581709.801398002</v>
      </c>
      <c r="E66" s="163">
        <f t="shared" si="49"/>
        <v>22601828.542796005</v>
      </c>
      <c r="F66" s="163">
        <f t="shared" si="49"/>
        <v>21621947.284194004</v>
      </c>
      <c r="G66" s="163">
        <f t="shared" si="49"/>
        <v>20642066.025592003</v>
      </c>
      <c r="H66" s="163">
        <f t="shared" si="49"/>
        <v>19662184.766990002</v>
      </c>
      <c r="I66" s="163">
        <f t="shared" si="49"/>
        <v>18682303.508388001</v>
      </c>
      <c r="J66" s="181"/>
      <c r="K66" s="181"/>
      <c r="L66" s="163">
        <f t="shared" ref="L66:R69" si="50">L50+L44+L38+L56+L62</f>
        <v>24561591.060000002</v>
      </c>
      <c r="M66" s="163">
        <f t="shared" si="50"/>
        <v>21754067.454000004</v>
      </c>
      <c r="N66" s="163">
        <f t="shared" si="50"/>
        <v>19292851.3836</v>
      </c>
      <c r="O66" s="163">
        <f t="shared" si="50"/>
        <v>17128338.61899</v>
      </c>
      <c r="P66" s="163">
        <f t="shared" si="50"/>
        <v>15220187.4547785</v>
      </c>
      <c r="Q66" s="163">
        <f t="shared" si="50"/>
        <v>13534924.710335024</v>
      </c>
      <c r="R66" s="163">
        <f t="shared" si="50"/>
        <v>12044340.264980741</v>
      </c>
    </row>
    <row r="67" spans="1:18" x14ac:dyDescent="0.2">
      <c r="A67" s="161" t="s">
        <v>206</v>
      </c>
      <c r="B67" s="161"/>
      <c r="C67" s="163">
        <f t="shared" si="49"/>
        <v>979881.25860200007</v>
      </c>
      <c r="D67" s="163">
        <f t="shared" si="49"/>
        <v>979881.25860200007</v>
      </c>
      <c r="E67" s="163">
        <f t="shared" si="49"/>
        <v>979881.25860200007</v>
      </c>
      <c r="F67" s="163">
        <f t="shared" si="49"/>
        <v>979881.25860200007</v>
      </c>
      <c r="G67" s="163">
        <f t="shared" si="49"/>
        <v>979881.25860200007</v>
      </c>
      <c r="H67" s="163">
        <f t="shared" si="49"/>
        <v>979881.25860200007</v>
      </c>
      <c r="I67" s="163">
        <f t="shared" si="49"/>
        <v>979881.25860200007</v>
      </c>
      <c r="J67" s="181"/>
      <c r="K67" s="181"/>
      <c r="L67" s="163">
        <f t="shared" si="50"/>
        <v>2807523.6060000006</v>
      </c>
      <c r="M67" s="163">
        <f t="shared" si="50"/>
        <v>2461216.0704000001</v>
      </c>
      <c r="N67" s="163">
        <f t="shared" si="50"/>
        <v>2164512.76461</v>
      </c>
      <c r="O67" s="163">
        <f t="shared" si="50"/>
        <v>1908151.1642115002</v>
      </c>
      <c r="P67" s="163">
        <f t="shared" si="50"/>
        <v>1685262.744443475</v>
      </c>
      <c r="Q67" s="163">
        <f t="shared" si="50"/>
        <v>1490584.4453542836</v>
      </c>
      <c r="R67" s="163">
        <f t="shared" si="50"/>
        <v>1319962.9497907383</v>
      </c>
    </row>
    <row r="68" spans="1:18" x14ac:dyDescent="0.2">
      <c r="A68" s="161" t="s">
        <v>207</v>
      </c>
      <c r="B68" s="161"/>
      <c r="C68" s="163">
        <f t="shared" si="49"/>
        <v>979881.25860200007</v>
      </c>
      <c r="D68" s="163">
        <f t="shared" si="49"/>
        <v>1959762.5172040001</v>
      </c>
      <c r="E68" s="163">
        <f t="shared" si="49"/>
        <v>2939643.7758060005</v>
      </c>
      <c r="F68" s="163">
        <f t="shared" si="49"/>
        <v>3919525.0344080003</v>
      </c>
      <c r="G68" s="163">
        <f t="shared" si="49"/>
        <v>4899406.2930100001</v>
      </c>
      <c r="H68" s="163">
        <f t="shared" si="49"/>
        <v>5879287.551612</v>
      </c>
      <c r="I68" s="163">
        <f t="shared" si="49"/>
        <v>6859168.8102139998</v>
      </c>
      <c r="J68" s="181"/>
      <c r="K68" s="181"/>
      <c r="L68" s="163">
        <f t="shared" si="50"/>
        <v>2807523.6060000006</v>
      </c>
      <c r="M68" s="163">
        <f t="shared" si="50"/>
        <v>5268739.6764000002</v>
      </c>
      <c r="N68" s="163">
        <f t="shared" si="50"/>
        <v>7433252.4410100002</v>
      </c>
      <c r="O68" s="163">
        <f t="shared" si="50"/>
        <v>9341403.6052214988</v>
      </c>
      <c r="P68" s="163">
        <f t="shared" si="50"/>
        <v>11026666.349664977</v>
      </c>
      <c r="Q68" s="163">
        <f t="shared" si="50"/>
        <v>12517250.795019262</v>
      </c>
      <c r="R68" s="163">
        <f t="shared" si="50"/>
        <v>13837213.744809998</v>
      </c>
    </row>
    <row r="69" spans="1:18" x14ac:dyDescent="0.2">
      <c r="A69" s="161" t="s">
        <v>201</v>
      </c>
      <c r="B69" s="161"/>
      <c r="C69" s="163">
        <f t="shared" si="49"/>
        <v>23581709.801398002</v>
      </c>
      <c r="D69" s="163">
        <f t="shared" si="49"/>
        <v>22601828.542796005</v>
      </c>
      <c r="E69" s="163">
        <f t="shared" si="49"/>
        <v>21621947.284194004</v>
      </c>
      <c r="F69" s="163">
        <f t="shared" si="49"/>
        <v>20642066.025592003</v>
      </c>
      <c r="G69" s="163">
        <f t="shared" si="49"/>
        <v>19662184.766990002</v>
      </c>
      <c r="H69" s="163">
        <f t="shared" si="49"/>
        <v>18682303.508388001</v>
      </c>
      <c r="I69" s="163">
        <f t="shared" si="49"/>
        <v>17702422.249786001</v>
      </c>
      <c r="J69" s="181"/>
      <c r="K69" s="181"/>
      <c r="L69" s="163">
        <f t="shared" si="50"/>
        <v>21754067.454000004</v>
      </c>
      <c r="M69" s="163">
        <f t="shared" si="50"/>
        <v>19292851.3836</v>
      </c>
      <c r="N69" s="163">
        <f t="shared" si="50"/>
        <v>17128338.61899</v>
      </c>
      <c r="O69" s="163">
        <f t="shared" si="50"/>
        <v>15220187.4547785</v>
      </c>
      <c r="P69" s="163">
        <f t="shared" si="50"/>
        <v>13534924.710335024</v>
      </c>
      <c r="Q69" s="163">
        <f t="shared" si="50"/>
        <v>12044340.264980741</v>
      </c>
      <c r="R69" s="163">
        <f t="shared" si="50"/>
        <v>10724377.315190002</v>
      </c>
    </row>
    <row r="70" spans="1:18" x14ac:dyDescent="0.2">
      <c r="A70" s="165"/>
      <c r="B70" s="165"/>
      <c r="C70" s="166"/>
      <c r="D70" s="166"/>
      <c r="E70" s="166"/>
      <c r="F70" s="166"/>
      <c r="G70" s="166"/>
      <c r="H70" s="166"/>
      <c r="I70" s="166"/>
      <c r="J70" s="89"/>
      <c r="K70" s="89"/>
    </row>
    <row r="71" spans="1:18" x14ac:dyDescent="0.2">
      <c r="A71" s="89"/>
      <c r="B71" s="89"/>
      <c r="C71" s="89"/>
      <c r="D71" s="89"/>
      <c r="E71" s="89"/>
      <c r="F71" s="89"/>
      <c r="G71" s="89"/>
      <c r="H71" s="89"/>
      <c r="I71" s="89"/>
      <c r="J71" s="89"/>
      <c r="K71" s="89"/>
    </row>
    <row r="72" spans="1:18" ht="25.5" x14ac:dyDescent="0.2">
      <c r="A72" s="167" t="s">
        <v>208</v>
      </c>
      <c r="B72" s="168" t="s">
        <v>209</v>
      </c>
      <c r="C72" s="169" t="s">
        <v>210</v>
      </c>
      <c r="D72" s="89"/>
      <c r="E72" s="89"/>
      <c r="F72" s="89"/>
      <c r="G72" s="89"/>
      <c r="H72" s="89"/>
      <c r="I72" s="89"/>
      <c r="J72" s="89"/>
      <c r="K72" s="89"/>
    </row>
    <row r="73" spans="1:18" ht="25.5" x14ac:dyDescent="0.2">
      <c r="A73" s="170" t="s">
        <v>211</v>
      </c>
      <c r="B73" s="168" t="s">
        <v>212</v>
      </c>
      <c r="C73" s="169" t="s">
        <v>213</v>
      </c>
      <c r="D73" s="89"/>
      <c r="E73" s="89"/>
      <c r="F73" s="89"/>
      <c r="G73" s="89"/>
      <c r="H73" s="89"/>
      <c r="I73" s="89"/>
      <c r="J73" s="89"/>
      <c r="K73" s="89"/>
    </row>
    <row r="74" spans="1:18" x14ac:dyDescent="0.2">
      <c r="A74" s="170" t="s">
        <v>148</v>
      </c>
      <c r="B74" s="171">
        <v>0</v>
      </c>
      <c r="C74" s="171">
        <v>0</v>
      </c>
      <c r="D74" s="89"/>
      <c r="E74" s="89"/>
      <c r="F74" s="89"/>
      <c r="G74" s="89"/>
      <c r="H74" s="89"/>
      <c r="I74" s="89"/>
      <c r="J74" s="89"/>
      <c r="K74" s="89"/>
    </row>
    <row r="75" spans="1:18" x14ac:dyDescent="0.2">
      <c r="A75" s="172" t="s">
        <v>202</v>
      </c>
      <c r="B75" s="171">
        <v>3.1699999999999999E-2</v>
      </c>
      <c r="C75" s="171">
        <v>0.1</v>
      </c>
      <c r="D75" s="173"/>
      <c r="E75" s="89"/>
      <c r="F75" s="89"/>
      <c r="G75" s="89"/>
      <c r="H75" s="89"/>
      <c r="I75" s="89"/>
      <c r="J75" s="89"/>
      <c r="K75" s="89"/>
    </row>
    <row r="76" spans="1:18" x14ac:dyDescent="0.2">
      <c r="A76" s="172" t="s">
        <v>204</v>
      </c>
      <c r="B76" s="174">
        <v>0.1</v>
      </c>
      <c r="C76" s="171">
        <v>0.1</v>
      </c>
      <c r="D76" s="89"/>
      <c r="E76" s="89"/>
      <c r="F76" s="89"/>
      <c r="G76" s="89"/>
      <c r="H76" s="89"/>
      <c r="I76" s="89"/>
      <c r="J76" s="89"/>
      <c r="K76" s="89"/>
    </row>
    <row r="77" spans="1:18" x14ac:dyDescent="0.2">
      <c r="A77" s="89" t="s">
        <v>214</v>
      </c>
      <c r="B77" s="174">
        <v>0.1</v>
      </c>
      <c r="C77" s="174">
        <v>0.4</v>
      </c>
      <c r="D77" s="89"/>
      <c r="E77" s="89"/>
      <c r="F77" s="89"/>
      <c r="G77" s="89"/>
      <c r="H77" s="89"/>
      <c r="I77" s="89"/>
      <c r="J77" s="89"/>
      <c r="K77" s="89"/>
    </row>
    <row r="78" spans="1:18" x14ac:dyDescent="0.2">
      <c r="A78" s="89" t="s">
        <v>278</v>
      </c>
      <c r="B78" s="174">
        <v>0.1188</v>
      </c>
      <c r="C78" s="174">
        <v>0.15</v>
      </c>
      <c r="D78" s="89"/>
      <c r="E78" s="89"/>
      <c r="F78" s="89"/>
      <c r="G78" s="89"/>
      <c r="H78" s="89"/>
      <c r="I78" s="89"/>
      <c r="J78" s="89"/>
      <c r="K78" s="89"/>
    </row>
    <row r="79" spans="1:18" x14ac:dyDescent="0.2">
      <c r="A79" s="172" t="s">
        <v>215</v>
      </c>
      <c r="B79" s="174">
        <v>6.3299999999999995E-2</v>
      </c>
      <c r="C79" s="174">
        <v>0.15</v>
      </c>
      <c r="D79" s="89"/>
      <c r="E79" s="89"/>
      <c r="F79" s="89"/>
      <c r="G79" s="89"/>
      <c r="H79" s="89"/>
      <c r="I79" s="89"/>
      <c r="J79" s="89"/>
      <c r="K79" s="89"/>
    </row>
    <row r="80" spans="1:18" ht="25.5" x14ac:dyDescent="0.2">
      <c r="A80" s="170" t="s">
        <v>208</v>
      </c>
      <c r="B80" s="171"/>
      <c r="C80" s="175"/>
      <c r="D80" s="89"/>
      <c r="E80" s="89"/>
      <c r="F80" s="89"/>
      <c r="G80" s="89"/>
      <c r="H80" s="89"/>
      <c r="I80" s="89"/>
      <c r="J80" s="89"/>
      <c r="K80" s="89"/>
    </row>
    <row r="81" spans="1:13" x14ac:dyDescent="0.2">
      <c r="A81" s="172" t="s">
        <v>216</v>
      </c>
      <c r="B81" s="175">
        <v>0.2</v>
      </c>
      <c r="C81" s="176">
        <v>0.2</v>
      </c>
      <c r="D81" s="89"/>
      <c r="E81" s="89"/>
      <c r="F81" s="89"/>
      <c r="G81" s="89"/>
      <c r="H81" s="89"/>
      <c r="I81" s="89"/>
      <c r="J81" s="89"/>
      <c r="K81" s="89"/>
    </row>
    <row r="82" spans="1:13" x14ac:dyDescent="0.2">
      <c r="A82" s="89"/>
      <c r="B82" s="89"/>
      <c r="C82" s="89"/>
      <c r="D82" s="89"/>
      <c r="E82" s="89"/>
      <c r="F82" s="89"/>
      <c r="G82" s="89"/>
      <c r="H82" s="89"/>
      <c r="I82" s="89"/>
      <c r="J82" s="89"/>
      <c r="K82" s="89"/>
    </row>
    <row r="83" spans="1:13" x14ac:dyDescent="0.2">
      <c r="A83" s="89"/>
      <c r="B83" s="89"/>
      <c r="C83" s="89"/>
      <c r="D83" s="89"/>
      <c r="E83" s="177"/>
      <c r="F83" s="89"/>
      <c r="G83" s="89"/>
      <c r="H83" s="89"/>
      <c r="I83" s="89"/>
      <c r="J83" s="89"/>
      <c r="K83" s="89"/>
    </row>
    <row r="84" spans="1:13" s="60" customFormat="1" ht="18" x14ac:dyDescent="0.2">
      <c r="A84" s="451" t="s">
        <v>555</v>
      </c>
      <c r="B84" s="451"/>
      <c r="C84" s="451"/>
      <c r="D84" s="451"/>
      <c r="E84" s="451"/>
      <c r="F84" s="451"/>
      <c r="G84" s="451"/>
      <c r="H84" s="451"/>
      <c r="I84" s="451"/>
      <c r="J84" s="451"/>
      <c r="K84" s="353"/>
    </row>
    <row r="85" spans="1:13" s="60" customFormat="1" x14ac:dyDescent="0.2">
      <c r="A85" s="33"/>
      <c r="B85" s="33"/>
    </row>
    <row r="86" spans="1:13" s="60" customFormat="1" x14ac:dyDescent="0.2">
      <c r="A86" s="148" t="s">
        <v>0</v>
      </c>
      <c r="B86" s="149" t="s">
        <v>343</v>
      </c>
      <c r="C86" s="150" t="s">
        <v>2</v>
      </c>
      <c r="D86" s="150" t="s">
        <v>3</v>
      </c>
      <c r="E86" s="150" t="s">
        <v>4</v>
      </c>
      <c r="F86" s="150" t="s">
        <v>5</v>
      </c>
      <c r="G86" s="150" t="s">
        <v>6</v>
      </c>
      <c r="H86" s="150" t="s">
        <v>170</v>
      </c>
      <c r="I86" s="150" t="s">
        <v>169</v>
      </c>
      <c r="J86" s="35"/>
      <c r="K86" s="35"/>
      <c r="L86" s="35"/>
      <c r="M86" s="35"/>
    </row>
    <row r="87" spans="1:13" s="60" customFormat="1" x14ac:dyDescent="0.2">
      <c r="A87" s="151" t="s">
        <v>256</v>
      </c>
      <c r="B87" s="152">
        <v>5</v>
      </c>
      <c r="C87" s="153">
        <f>'1.Project Cost and MOF'!$D$10/5</f>
        <v>195170</v>
      </c>
      <c r="D87" s="153">
        <f>'1.Project Cost and MOF'!$D$10/5</f>
        <v>195170</v>
      </c>
      <c r="E87" s="153">
        <f>'1.Project Cost and MOF'!$D$10/5</f>
        <v>195170</v>
      </c>
      <c r="F87" s="153">
        <f>'1.Project Cost and MOF'!$D$10/5</f>
        <v>195170</v>
      </c>
      <c r="G87" s="153">
        <f>'1.Project Cost and MOF'!$D$10/5</f>
        <v>195170</v>
      </c>
      <c r="H87" s="153">
        <v>0</v>
      </c>
      <c r="I87" s="153">
        <v>0</v>
      </c>
      <c r="J87" s="35"/>
      <c r="K87" s="35"/>
      <c r="L87" s="35"/>
      <c r="M87" s="35"/>
    </row>
    <row r="88" spans="1:13" s="60" customFormat="1" x14ac:dyDescent="0.2">
      <c r="A88" s="154" t="s">
        <v>344</v>
      </c>
      <c r="B88" s="155"/>
      <c r="C88" s="156">
        <f t="shared" ref="C88:I88" si="51">SUM(C86:C87)</f>
        <v>195170</v>
      </c>
      <c r="D88" s="156">
        <f t="shared" si="51"/>
        <v>195170</v>
      </c>
      <c r="E88" s="156">
        <f t="shared" si="51"/>
        <v>195170</v>
      </c>
      <c r="F88" s="156">
        <f t="shared" si="51"/>
        <v>195170</v>
      </c>
      <c r="G88" s="156">
        <f t="shared" si="51"/>
        <v>195170</v>
      </c>
      <c r="H88" s="156">
        <f t="shared" si="51"/>
        <v>0</v>
      </c>
      <c r="I88" s="156">
        <f t="shared" si="51"/>
        <v>0</v>
      </c>
      <c r="J88" s="61"/>
      <c r="K88" s="61"/>
      <c r="L88" s="61"/>
      <c r="M88" s="61"/>
    </row>
    <row r="89" spans="1:13" s="60" customFormat="1" x14ac:dyDescent="0.2">
      <c r="C89" s="35"/>
      <c r="D89" s="35"/>
      <c r="E89" s="35"/>
      <c r="F89" s="35"/>
      <c r="G89" s="35"/>
      <c r="H89" s="35"/>
      <c r="I89" s="35"/>
      <c r="J89" s="35"/>
      <c r="K89" s="35"/>
      <c r="L89" s="35"/>
      <c r="M89" s="35"/>
    </row>
    <row r="92" spans="1:13" x14ac:dyDescent="0.2">
      <c r="A92" s="31"/>
      <c r="B92" s="32"/>
      <c r="C92" s="32"/>
      <c r="D92" s="32"/>
      <c r="E92" s="32"/>
      <c r="F92" s="32"/>
      <c r="G92" s="32"/>
      <c r="H92" s="32"/>
      <c r="I92" s="32"/>
      <c r="J92" s="32"/>
      <c r="K92" s="32"/>
      <c r="L92" s="32"/>
    </row>
    <row r="93" spans="1:13" ht="18" x14ac:dyDescent="0.2">
      <c r="A93" s="463" t="s">
        <v>556</v>
      </c>
      <c r="B93" s="463"/>
      <c r="C93" s="463"/>
      <c r="D93" s="463"/>
      <c r="E93" s="463"/>
      <c r="F93" s="463"/>
      <c r="G93" s="463"/>
      <c r="H93" s="463"/>
      <c r="I93" s="145"/>
      <c r="J93" s="145"/>
      <c r="K93" s="145"/>
      <c r="L93" s="145"/>
    </row>
    <row r="94" spans="1:13" x14ac:dyDescent="0.2">
      <c r="A94" s="33"/>
      <c r="B94" s="32"/>
      <c r="C94" s="32"/>
      <c r="D94" s="32"/>
      <c r="E94" s="32"/>
      <c r="F94" s="32"/>
      <c r="G94" s="32"/>
      <c r="H94" s="32"/>
      <c r="I94" s="32"/>
      <c r="J94" s="32"/>
      <c r="K94" s="32"/>
      <c r="L94" s="32"/>
    </row>
    <row r="95" spans="1:13" x14ac:dyDescent="0.2">
      <c r="A95" s="143" t="s">
        <v>0</v>
      </c>
      <c r="B95" s="143"/>
      <c r="C95" s="115" t="s">
        <v>2</v>
      </c>
      <c r="D95" s="115" t="s">
        <v>3</v>
      </c>
      <c r="E95" s="115" t="s">
        <v>4</v>
      </c>
      <c r="F95" s="115" t="s">
        <v>5</v>
      </c>
      <c r="G95" s="115" t="s">
        <v>6</v>
      </c>
      <c r="H95" s="115" t="s">
        <v>170</v>
      </c>
      <c r="I95" s="115" t="s">
        <v>169</v>
      </c>
      <c r="J95" s="26"/>
      <c r="K95" s="26"/>
      <c r="L95" s="26"/>
      <c r="M95" s="26"/>
    </row>
    <row r="96" spans="1:13" x14ac:dyDescent="0.2">
      <c r="A96" s="83" t="s">
        <v>229</v>
      </c>
      <c r="B96" s="83"/>
      <c r="C96" s="146">
        <f>'6.Cons Profit &amp; Loss'!B49</f>
        <v>-151634.88914491539</v>
      </c>
      <c r="D96" s="146">
        <f>'6.Cons Profit &amp; Loss'!C49</f>
        <v>1477618.605877474</v>
      </c>
      <c r="E96" s="146">
        <f>'6.Cons Profit &amp; Loss'!D49</f>
        <v>3314129.5932761501</v>
      </c>
      <c r="F96" s="146">
        <f>'6.Cons Profit &amp; Loss'!E49</f>
        <v>5331280.438544834</v>
      </c>
      <c r="G96" s="146">
        <f>'6.Cons Profit &amp; Loss'!F49</f>
        <v>5986349.5816277992</v>
      </c>
      <c r="H96" s="146">
        <f>'6.Cons Profit &amp; Loss'!G49</f>
        <v>10013796.785726102</v>
      </c>
      <c r="I96" s="146">
        <f>'6.Cons Profit &amp; Loss'!H49</f>
        <v>15048792.195119398</v>
      </c>
      <c r="J96" s="34"/>
      <c r="K96" s="34"/>
      <c r="L96" s="34"/>
      <c r="M96" s="34"/>
    </row>
    <row r="97" spans="1:13" x14ac:dyDescent="0.2">
      <c r="A97" s="83" t="s">
        <v>230</v>
      </c>
      <c r="B97" s="83"/>
      <c r="C97" s="146">
        <f>'6.Cons Profit &amp; Loss'!B42</f>
        <v>979881.25860200007</v>
      </c>
      <c r="D97" s="146">
        <f>'6.Cons Profit &amp; Loss'!C42</f>
        <v>979881.25860200007</v>
      </c>
      <c r="E97" s="146">
        <f>'6.Cons Profit &amp; Loss'!D42</f>
        <v>979881.25860200007</v>
      </c>
      <c r="F97" s="146">
        <f>'6.Cons Profit &amp; Loss'!E42</f>
        <v>979881.25860200007</v>
      </c>
      <c r="G97" s="146">
        <f>'6.Cons Profit &amp; Loss'!F42</f>
        <v>979881.25860200007</v>
      </c>
      <c r="H97" s="146">
        <f>'6.Cons Profit &amp; Loss'!G42</f>
        <v>979881.25860200007</v>
      </c>
      <c r="I97" s="146">
        <f>'6.Cons Profit &amp; Loss'!H42</f>
        <v>979881.25860200007</v>
      </c>
      <c r="J97" s="34"/>
      <c r="K97" s="34"/>
      <c r="L97" s="34"/>
      <c r="M97" s="34"/>
    </row>
    <row r="98" spans="1:13" x14ac:dyDescent="0.2">
      <c r="A98" s="83" t="s">
        <v>231</v>
      </c>
      <c r="B98" s="83"/>
      <c r="C98" s="146">
        <f>'3.Other Exp &amp; Taxes'!L67</f>
        <v>2807523.6060000006</v>
      </c>
      <c r="D98" s="146">
        <f>'3.Other Exp &amp; Taxes'!M67</f>
        <v>2461216.0704000001</v>
      </c>
      <c r="E98" s="146">
        <f>'3.Other Exp &amp; Taxes'!N67</f>
        <v>2164512.76461</v>
      </c>
      <c r="F98" s="146">
        <f>'3.Other Exp &amp; Taxes'!O67</f>
        <v>1908151.1642115002</v>
      </c>
      <c r="G98" s="146">
        <f>'3.Other Exp &amp; Taxes'!P67</f>
        <v>1685262.744443475</v>
      </c>
      <c r="H98" s="146">
        <f>'3.Other Exp &amp; Taxes'!Q67</f>
        <v>1490584.4453542836</v>
      </c>
      <c r="I98" s="146">
        <f>'3.Other Exp &amp; Taxes'!R67</f>
        <v>1319962.9497907383</v>
      </c>
      <c r="J98" s="34"/>
      <c r="K98" s="34"/>
      <c r="L98" s="34"/>
      <c r="M98" s="34"/>
    </row>
    <row r="99" spans="1:13" x14ac:dyDescent="0.2">
      <c r="A99" s="83" t="s">
        <v>291</v>
      </c>
      <c r="B99" s="83"/>
      <c r="C99" s="146">
        <f t="shared" ref="C99:I99" si="52">C96+C97-C98</f>
        <v>-1979277.2365429159</v>
      </c>
      <c r="D99" s="146">
        <f t="shared" si="52"/>
        <v>-3716.2059205262922</v>
      </c>
      <c r="E99" s="146">
        <f t="shared" si="52"/>
        <v>2129498.0872681504</v>
      </c>
      <c r="F99" s="146">
        <f t="shared" si="52"/>
        <v>4403010.5329353334</v>
      </c>
      <c r="G99" s="146">
        <f t="shared" si="52"/>
        <v>5280968.0957863238</v>
      </c>
      <c r="H99" s="146">
        <f t="shared" si="52"/>
        <v>9503093.59897382</v>
      </c>
      <c r="I99" s="146">
        <f t="shared" si="52"/>
        <v>14708710.50393066</v>
      </c>
      <c r="J99" s="34"/>
      <c r="K99" s="34"/>
      <c r="L99" s="34"/>
      <c r="M99" s="34"/>
    </row>
    <row r="100" spans="1:13" x14ac:dyDescent="0.2">
      <c r="A100" s="83" t="s">
        <v>699</v>
      </c>
      <c r="B100" s="83">
        <v>0</v>
      </c>
      <c r="C100" s="146">
        <f>IF(C99&lt;=0,C99,0)</f>
        <v>-1979277.2365429159</v>
      </c>
      <c r="D100" s="146">
        <f t="shared" ref="D100:I100" si="53">IF(D99&lt;=0,D99,0)</f>
        <v>-3716.2059205262922</v>
      </c>
      <c r="E100" s="146">
        <f t="shared" si="53"/>
        <v>0</v>
      </c>
      <c r="F100" s="146">
        <f t="shared" si="53"/>
        <v>0</v>
      </c>
      <c r="G100" s="146">
        <f t="shared" si="53"/>
        <v>0</v>
      </c>
      <c r="H100" s="146">
        <f t="shared" si="53"/>
        <v>0</v>
      </c>
      <c r="I100" s="146">
        <f t="shared" si="53"/>
        <v>0</v>
      </c>
      <c r="J100" s="34"/>
      <c r="K100" s="34"/>
      <c r="L100" s="34"/>
      <c r="M100" s="34"/>
    </row>
    <row r="101" spans="1:13" x14ac:dyDescent="0.2">
      <c r="A101" s="83" t="s">
        <v>700</v>
      </c>
      <c r="B101" s="83"/>
      <c r="C101" s="146">
        <f>IF(AND(C100&gt;=0,(C99-C100)&gt;=0),C99-C100+B100,0)</f>
        <v>0</v>
      </c>
      <c r="D101" s="146">
        <f t="shared" ref="D101:F101" si="54">IF(AND(D100&gt;=0,(D99-D100)&gt;=0),D99-D100+C100,0)</f>
        <v>0</v>
      </c>
      <c r="E101" s="146">
        <f t="shared" si="54"/>
        <v>2125781.8813476241</v>
      </c>
      <c r="F101" s="146">
        <f t="shared" si="54"/>
        <v>4403010.5329353334</v>
      </c>
      <c r="G101" s="146">
        <f>IF(AND(G100&gt;=0,(G99-G100)&gt;=0),G99-G100+F100,0)</f>
        <v>5280968.0957863238</v>
      </c>
      <c r="H101" s="146">
        <f>IF(AND(H100&gt;=0,(H99-H100)&gt;=0),H99-H100+G100,0)</f>
        <v>9503093.59897382</v>
      </c>
      <c r="I101" s="146">
        <f>IF(AND(I100&gt;=0,(I99-I100)&gt;=0),I99-I100+H100,0)</f>
        <v>14708710.50393066</v>
      </c>
      <c r="J101" s="34"/>
      <c r="K101" s="34"/>
      <c r="L101" s="34"/>
      <c r="M101" s="34"/>
    </row>
    <row r="102" spans="1:13" x14ac:dyDescent="0.2">
      <c r="A102" s="85" t="s">
        <v>702</v>
      </c>
      <c r="B102" s="85"/>
      <c r="C102" s="147">
        <f>C101*$C$105</f>
        <v>0</v>
      </c>
      <c r="D102" s="147">
        <f t="shared" ref="D102:I102" si="55">D101*$C$105</f>
        <v>0</v>
      </c>
      <c r="E102" s="147">
        <f t="shared" si="55"/>
        <v>552703.28915038228</v>
      </c>
      <c r="F102" s="147">
        <f t="shared" si="55"/>
        <v>1144782.7385631867</v>
      </c>
      <c r="G102" s="147">
        <f t="shared" si="55"/>
        <v>1373051.7049044443</v>
      </c>
      <c r="H102" s="147">
        <f t="shared" si="55"/>
        <v>2470804.3357331934</v>
      </c>
      <c r="I102" s="147">
        <f t="shared" si="55"/>
        <v>3824264.7310219719</v>
      </c>
      <c r="J102" s="34"/>
      <c r="K102" s="34"/>
      <c r="L102" s="34"/>
      <c r="M102" s="34"/>
    </row>
    <row r="103" spans="1:13" x14ac:dyDescent="0.2">
      <c r="A103" s="355" t="s">
        <v>701</v>
      </c>
      <c r="B103" s="355"/>
      <c r="C103" s="356">
        <f>ROUND(IF(C96&gt;=0,C96*$C$106,0),0)</f>
        <v>0</v>
      </c>
      <c r="D103" s="356">
        <f t="shared" ref="D103:I103" si="56">ROUND(IF(D96&gt;=0,D96*$C$106,0),0)</f>
        <v>280748</v>
      </c>
      <c r="E103" s="356">
        <f t="shared" si="56"/>
        <v>629685</v>
      </c>
      <c r="F103" s="356">
        <f t="shared" si="56"/>
        <v>1012943</v>
      </c>
      <c r="G103" s="356">
        <f t="shared" si="56"/>
        <v>1137406</v>
      </c>
      <c r="H103" s="356">
        <f t="shared" si="56"/>
        <v>1902621</v>
      </c>
      <c r="I103" s="356">
        <f t="shared" si="56"/>
        <v>2859271</v>
      </c>
      <c r="J103" s="32"/>
      <c r="K103" s="32"/>
      <c r="L103" s="32"/>
      <c r="M103" s="32"/>
    </row>
    <row r="104" spans="1:13" x14ac:dyDescent="0.2">
      <c r="A104" s="358" t="s">
        <v>703</v>
      </c>
      <c r="B104" s="358"/>
      <c r="C104" s="359">
        <f>MAX(C102,C103)</f>
        <v>0</v>
      </c>
      <c r="D104" s="359">
        <f t="shared" ref="D104:I104" si="57">MAX(D102,D103)</f>
        <v>280748</v>
      </c>
      <c r="E104" s="359">
        <f t="shared" si="57"/>
        <v>629685</v>
      </c>
      <c r="F104" s="359">
        <f t="shared" si="57"/>
        <v>1144782.7385631867</v>
      </c>
      <c r="G104" s="359">
        <f t="shared" si="57"/>
        <v>1373051.7049044443</v>
      </c>
      <c r="H104" s="359">
        <f t="shared" si="57"/>
        <v>2470804.3357331934</v>
      </c>
      <c r="I104" s="359">
        <f t="shared" si="57"/>
        <v>3824264.7310219719</v>
      </c>
      <c r="J104" s="35"/>
      <c r="K104" s="35"/>
      <c r="L104" s="35"/>
      <c r="M104" s="35"/>
    </row>
    <row r="105" spans="1:13" x14ac:dyDescent="0.2">
      <c r="A105" s="36" t="s">
        <v>395</v>
      </c>
      <c r="B105" s="361"/>
      <c r="C105" s="252">
        <v>0.26</v>
      </c>
      <c r="D105" s="35"/>
      <c r="E105" s="35"/>
      <c r="F105" s="35"/>
      <c r="G105" s="35"/>
      <c r="H105" s="35"/>
      <c r="I105" s="35"/>
      <c r="J105" s="35"/>
      <c r="K105" s="35"/>
      <c r="L105" s="35"/>
      <c r="M105" s="35"/>
    </row>
    <row r="106" spans="1:13" x14ac:dyDescent="0.2">
      <c r="A106" s="32" t="s">
        <v>704</v>
      </c>
      <c r="B106" s="32"/>
      <c r="C106" s="357">
        <v>0.19</v>
      </c>
      <c r="D106" s="32"/>
      <c r="E106" s="32"/>
      <c r="F106" s="32"/>
      <c r="G106" s="32"/>
      <c r="H106" s="32"/>
      <c r="I106" s="32"/>
      <c r="J106" s="32"/>
      <c r="K106" s="32"/>
      <c r="L106" s="32"/>
      <c r="M106" s="32"/>
    </row>
    <row r="107" spans="1:13" ht="29.1" customHeight="1" x14ac:dyDescent="0.2">
      <c r="A107" s="464" t="s">
        <v>426</v>
      </c>
      <c r="B107" s="464"/>
      <c r="C107" s="464"/>
      <c r="D107" s="464"/>
      <c r="E107" s="464"/>
      <c r="F107" s="464"/>
      <c r="G107" s="464"/>
      <c r="H107" s="464"/>
      <c r="I107" s="30"/>
      <c r="J107" s="30"/>
      <c r="K107" s="30"/>
      <c r="L107" s="30"/>
    </row>
    <row r="109" spans="1:13" x14ac:dyDescent="0.2">
      <c r="D109" s="360"/>
    </row>
    <row r="112" spans="1:13" x14ac:dyDescent="0.2">
      <c r="B112" s="9" t="s">
        <v>197</v>
      </c>
      <c r="C112" s="9"/>
      <c r="D112" s="9"/>
      <c r="E112" s="9"/>
      <c r="F112" s="9"/>
      <c r="G112" s="9"/>
      <c r="H112" s="9"/>
    </row>
    <row r="113" spans="2:8" x14ac:dyDescent="0.2">
      <c r="B113" s="55" t="s">
        <v>2</v>
      </c>
      <c r="C113" s="55" t="s">
        <v>3</v>
      </c>
      <c r="D113" s="55" t="s">
        <v>4</v>
      </c>
      <c r="E113" s="55" t="s">
        <v>5</v>
      </c>
      <c r="F113" s="55" t="s">
        <v>6</v>
      </c>
      <c r="G113" s="55" t="s">
        <v>170</v>
      </c>
      <c r="H113" s="55" t="s">
        <v>169</v>
      </c>
    </row>
    <row r="114" spans="2:8" x14ac:dyDescent="0.2">
      <c r="B114" s="9"/>
      <c r="C114" s="9"/>
      <c r="D114" s="9"/>
      <c r="E114" s="9"/>
      <c r="F114" s="9"/>
      <c r="G114" s="9"/>
      <c r="H114" s="9"/>
    </row>
    <row r="115" spans="2:8" x14ac:dyDescent="0.2">
      <c r="B115" s="9"/>
      <c r="C115" s="9"/>
      <c r="D115" s="9"/>
      <c r="E115" s="9"/>
      <c r="F115" s="9"/>
      <c r="G115" s="9"/>
      <c r="H115" s="9"/>
    </row>
    <row r="116" spans="2:8" x14ac:dyDescent="0.2">
      <c r="B116" s="9"/>
      <c r="C116" s="9"/>
      <c r="D116" s="9"/>
      <c r="E116" s="9"/>
      <c r="F116" s="9"/>
      <c r="G116" s="9"/>
      <c r="H116" s="9"/>
    </row>
    <row r="117" spans="2:8" x14ac:dyDescent="0.2">
      <c r="B117" s="9"/>
      <c r="C117" s="9"/>
      <c r="D117" s="9"/>
      <c r="E117" s="9"/>
      <c r="F117" s="9"/>
      <c r="G117" s="9"/>
      <c r="H117" s="9"/>
    </row>
    <row r="118" spans="2:8" x14ac:dyDescent="0.2">
      <c r="B118" s="9">
        <v>17833000</v>
      </c>
      <c r="C118" s="9">
        <v>16049700</v>
      </c>
      <c r="D118" s="9">
        <v>14444730</v>
      </c>
      <c r="E118" s="9">
        <v>13000257</v>
      </c>
      <c r="F118" s="9">
        <v>11700231.300000001</v>
      </c>
      <c r="G118" s="9">
        <v>10530208.17</v>
      </c>
      <c r="H118" s="9">
        <v>9477187.3530000001</v>
      </c>
    </row>
    <row r="119" spans="2:8" x14ac:dyDescent="0.2">
      <c r="B119" s="9">
        <v>1783300</v>
      </c>
      <c r="C119" s="9">
        <v>1604970</v>
      </c>
      <c r="D119" s="9">
        <v>1444473</v>
      </c>
      <c r="E119" s="9">
        <v>1300025.7000000002</v>
      </c>
      <c r="F119" s="9">
        <v>1170023.1300000001</v>
      </c>
      <c r="G119" s="9">
        <v>1053020.817</v>
      </c>
      <c r="H119" s="9">
        <v>947718.73530000006</v>
      </c>
    </row>
    <row r="120" spans="2:8" x14ac:dyDescent="0.2">
      <c r="B120" s="9">
        <v>1783300</v>
      </c>
      <c r="C120" s="9">
        <v>3388270</v>
      </c>
      <c r="D120" s="9">
        <v>4832743</v>
      </c>
      <c r="E120" s="9">
        <v>6132768.7000000002</v>
      </c>
      <c r="F120" s="9">
        <v>7302791.8300000001</v>
      </c>
      <c r="G120" s="9">
        <v>8355812.6469999999</v>
      </c>
      <c r="H120" s="9">
        <v>9303531.3823000006</v>
      </c>
    </row>
    <row r="121" spans="2:8" x14ac:dyDescent="0.2">
      <c r="B121" s="9">
        <v>16049700</v>
      </c>
      <c r="C121" s="9">
        <v>14444730</v>
      </c>
      <c r="D121" s="9">
        <v>13000257</v>
      </c>
      <c r="E121" s="9">
        <v>11700231.300000001</v>
      </c>
      <c r="F121" s="9">
        <v>10530208.17</v>
      </c>
      <c r="G121" s="9">
        <v>9477187.3530000001</v>
      </c>
      <c r="H121" s="9">
        <v>8529468.6176999994</v>
      </c>
    </row>
    <row r="122" spans="2:8" x14ac:dyDescent="0.2">
      <c r="B122" s="9"/>
      <c r="C122" s="9"/>
      <c r="D122" s="9"/>
      <c r="E122" s="9"/>
      <c r="F122" s="9"/>
      <c r="G122" s="9"/>
      <c r="H122" s="9"/>
    </row>
    <row r="123" spans="2:8" x14ac:dyDescent="0.2">
      <c r="B123" s="9"/>
      <c r="C123" s="9"/>
      <c r="D123" s="9"/>
      <c r="E123" s="9"/>
      <c r="F123" s="9"/>
      <c r="G123" s="9"/>
      <c r="H123" s="9"/>
    </row>
    <row r="124" spans="2:8" x14ac:dyDescent="0.2">
      <c r="B124" s="9">
        <v>13249030</v>
      </c>
      <c r="C124" s="9">
        <v>11261675.5</v>
      </c>
      <c r="D124" s="9">
        <v>9572424.1750000007</v>
      </c>
      <c r="E124" s="9">
        <v>8136560.548750001</v>
      </c>
      <c r="F124" s="9">
        <v>6916076.4664375009</v>
      </c>
      <c r="G124" s="9">
        <v>5878664.9964718763</v>
      </c>
      <c r="H124" s="9">
        <v>4996865.2470010947</v>
      </c>
    </row>
    <row r="125" spans="2:8" x14ac:dyDescent="0.2">
      <c r="B125" s="9">
        <v>1987354.5</v>
      </c>
      <c r="C125" s="9">
        <v>1689251.325</v>
      </c>
      <c r="D125" s="9">
        <v>1435863.62625</v>
      </c>
      <c r="E125" s="9">
        <v>1220484.0823125001</v>
      </c>
      <c r="F125" s="9">
        <v>1037411.4699656251</v>
      </c>
      <c r="G125" s="9">
        <v>881799.74947078142</v>
      </c>
      <c r="H125" s="9">
        <v>749529.78705016419</v>
      </c>
    </row>
    <row r="126" spans="2:8" x14ac:dyDescent="0.2">
      <c r="B126" s="9">
        <v>1987354.5</v>
      </c>
      <c r="C126" s="9">
        <v>3676605.8250000002</v>
      </c>
      <c r="D126" s="9">
        <v>5112469.4512499999</v>
      </c>
      <c r="E126" s="9">
        <v>6332953.5335625</v>
      </c>
      <c r="F126" s="9">
        <v>7370365.0035281256</v>
      </c>
      <c r="G126" s="9">
        <v>8252164.7529989071</v>
      </c>
      <c r="H126" s="9">
        <v>9001694.5400490705</v>
      </c>
    </row>
    <row r="127" spans="2:8" x14ac:dyDescent="0.2">
      <c r="B127" s="9">
        <v>11261675.5</v>
      </c>
      <c r="C127" s="9">
        <v>9572424.1750000007</v>
      </c>
      <c r="D127" s="9">
        <v>8136560.548750001</v>
      </c>
      <c r="E127" s="9">
        <v>6916076.4664375009</v>
      </c>
      <c r="F127" s="9">
        <v>5878664.9964718763</v>
      </c>
      <c r="G127" s="9">
        <v>4996865.2470010947</v>
      </c>
      <c r="H127" s="9">
        <v>4247335.4599509304</v>
      </c>
    </row>
    <row r="128" spans="2:8" x14ac:dyDescent="0.2">
      <c r="B128" s="9"/>
      <c r="C128" s="9"/>
      <c r="D128" s="9"/>
      <c r="E128" s="9"/>
      <c r="F128" s="9"/>
      <c r="G128" s="9"/>
      <c r="H128" s="9"/>
    </row>
    <row r="129" spans="2:8" x14ac:dyDescent="0.2">
      <c r="B129" s="9"/>
      <c r="C129" s="9"/>
      <c r="D129" s="9"/>
      <c r="E129" s="9"/>
      <c r="F129" s="9"/>
      <c r="G129" s="9"/>
      <c r="H129" s="9"/>
    </row>
    <row r="130" spans="2:8" x14ac:dyDescent="0.2">
      <c r="B130" s="9">
        <v>61300</v>
      </c>
      <c r="C130" s="9">
        <v>55170</v>
      </c>
      <c r="D130" s="9">
        <v>49653</v>
      </c>
      <c r="E130" s="9">
        <v>44687.7</v>
      </c>
      <c r="F130" s="9">
        <v>40218.93</v>
      </c>
      <c r="G130" s="9">
        <v>36197.036999999997</v>
      </c>
      <c r="H130" s="9">
        <v>32577.333299999998</v>
      </c>
    </row>
    <row r="131" spans="2:8" x14ac:dyDescent="0.2">
      <c r="B131" s="9">
        <v>6130</v>
      </c>
      <c r="C131" s="9">
        <v>5517</v>
      </c>
      <c r="D131" s="9">
        <v>4965.3</v>
      </c>
      <c r="E131" s="9">
        <v>4468.7699999999995</v>
      </c>
      <c r="F131" s="9">
        <v>4021.893</v>
      </c>
      <c r="G131" s="9">
        <v>3619.7037</v>
      </c>
      <c r="H131" s="9">
        <v>3257.73333</v>
      </c>
    </row>
    <row r="132" spans="2:8" x14ac:dyDescent="0.2">
      <c r="B132" s="9">
        <v>6130</v>
      </c>
      <c r="C132" s="9">
        <v>11647</v>
      </c>
      <c r="D132" s="9">
        <v>16612.3</v>
      </c>
      <c r="E132" s="9">
        <v>21081.07</v>
      </c>
      <c r="F132" s="9">
        <v>25102.963</v>
      </c>
      <c r="G132" s="9">
        <v>28722.666700000002</v>
      </c>
      <c r="H132" s="9">
        <v>31980.400030000001</v>
      </c>
    </row>
    <row r="133" spans="2:8" x14ac:dyDescent="0.2">
      <c r="B133" s="9">
        <v>55170</v>
      </c>
      <c r="C133" s="9">
        <v>49653</v>
      </c>
      <c r="D133" s="9">
        <v>44687.7</v>
      </c>
      <c r="E133" s="9">
        <v>40218.93</v>
      </c>
      <c r="F133" s="9">
        <v>36197.036999999997</v>
      </c>
      <c r="G133" s="9">
        <v>32577.333299999998</v>
      </c>
      <c r="H133" s="9">
        <v>29319.599969999999</v>
      </c>
    </row>
    <row r="134" spans="2:8" x14ac:dyDescent="0.2">
      <c r="B134" s="9"/>
      <c r="C134" s="9"/>
      <c r="D134" s="9"/>
      <c r="E134" s="9"/>
      <c r="F134" s="9"/>
      <c r="G134" s="9"/>
      <c r="H134" s="9"/>
    </row>
    <row r="135" spans="2:8" x14ac:dyDescent="0.2">
      <c r="B135" s="9"/>
      <c r="C135" s="9"/>
      <c r="D135" s="9"/>
      <c r="E135" s="9"/>
      <c r="F135" s="9"/>
      <c r="G135" s="9"/>
      <c r="H135" s="9"/>
    </row>
    <row r="136" spans="2:8" x14ac:dyDescent="0.2">
      <c r="B136" s="9">
        <v>0</v>
      </c>
      <c r="C136" s="9">
        <v>0</v>
      </c>
      <c r="D136" s="9">
        <v>0</v>
      </c>
      <c r="E136" s="9">
        <v>0</v>
      </c>
      <c r="F136" s="9">
        <v>0</v>
      </c>
      <c r="G136" s="9">
        <v>0</v>
      </c>
      <c r="H136" s="9">
        <v>0</v>
      </c>
    </row>
    <row r="137" spans="2:8" x14ac:dyDescent="0.2">
      <c r="B137" s="9">
        <v>0</v>
      </c>
      <c r="C137" s="9">
        <v>0</v>
      </c>
      <c r="D137" s="9">
        <v>0</v>
      </c>
      <c r="E137" s="9">
        <v>0</v>
      </c>
      <c r="F137" s="9">
        <v>0</v>
      </c>
      <c r="G137" s="9">
        <v>0</v>
      </c>
      <c r="H137" s="9">
        <v>0</v>
      </c>
    </row>
    <row r="138" spans="2:8" x14ac:dyDescent="0.2">
      <c r="B138" s="9">
        <v>0</v>
      </c>
      <c r="C138" s="9">
        <v>0</v>
      </c>
      <c r="D138" s="9">
        <v>0</v>
      </c>
      <c r="E138" s="9">
        <v>0</v>
      </c>
      <c r="F138" s="9">
        <v>0</v>
      </c>
      <c r="G138" s="9">
        <v>0</v>
      </c>
      <c r="H138" s="9">
        <v>0</v>
      </c>
    </row>
    <row r="139" spans="2:8" x14ac:dyDescent="0.2">
      <c r="B139" s="9">
        <v>0</v>
      </c>
      <c r="C139" s="9">
        <v>0</v>
      </c>
      <c r="D139" s="9">
        <v>0</v>
      </c>
      <c r="E139" s="9">
        <v>0</v>
      </c>
      <c r="F139" s="9">
        <v>0</v>
      </c>
      <c r="G139" s="9">
        <v>0</v>
      </c>
      <c r="H139" s="9">
        <v>0</v>
      </c>
    </row>
    <row r="140" spans="2:8" x14ac:dyDescent="0.2">
      <c r="B140" s="9"/>
      <c r="C140" s="9"/>
      <c r="D140" s="9"/>
      <c r="E140" s="9"/>
      <c r="F140" s="9"/>
      <c r="G140" s="9"/>
      <c r="H140" s="9"/>
    </row>
    <row r="141" spans="2:8" x14ac:dyDescent="0.2">
      <c r="B141" s="9"/>
      <c r="C141" s="9"/>
      <c r="D141" s="9"/>
      <c r="E141" s="9"/>
      <c r="F141" s="9"/>
      <c r="G141" s="9"/>
      <c r="H141" s="9"/>
    </row>
    <row r="142" spans="2:8" x14ac:dyDescent="0.2">
      <c r="B142" s="9">
        <v>261320</v>
      </c>
      <c r="C142" s="9">
        <v>156792</v>
      </c>
      <c r="D142" s="9">
        <v>94075.199999999997</v>
      </c>
      <c r="E142" s="9">
        <v>56445.119999999995</v>
      </c>
      <c r="F142" s="9">
        <v>33867.072</v>
      </c>
      <c r="G142" s="9">
        <v>20320.243199999997</v>
      </c>
      <c r="H142" s="9">
        <v>12192.145919999999</v>
      </c>
    </row>
    <row r="143" spans="2:8" x14ac:dyDescent="0.2">
      <c r="B143" s="9">
        <v>104528</v>
      </c>
      <c r="C143" s="9">
        <v>62716.800000000003</v>
      </c>
      <c r="D143" s="9">
        <v>37630.080000000002</v>
      </c>
      <c r="E143" s="9">
        <v>22578.047999999999</v>
      </c>
      <c r="F143" s="9">
        <v>13546.828800000001</v>
      </c>
      <c r="G143" s="9">
        <v>8128.097279999999</v>
      </c>
      <c r="H143" s="9">
        <v>4876.8583680000002</v>
      </c>
    </row>
    <row r="144" spans="2:8" x14ac:dyDescent="0.2">
      <c r="B144" s="9">
        <v>104528</v>
      </c>
      <c r="C144" s="9">
        <v>167244.79999999999</v>
      </c>
      <c r="D144" s="9">
        <v>204874.88</v>
      </c>
      <c r="E144" s="9">
        <v>227452.92800000001</v>
      </c>
      <c r="F144" s="9">
        <v>240999.7568</v>
      </c>
      <c r="G144" s="9">
        <v>249127.85407999999</v>
      </c>
      <c r="H144" s="9">
        <v>254004.71244799998</v>
      </c>
    </row>
    <row r="145" spans="2:8" x14ac:dyDescent="0.2">
      <c r="B145" s="9">
        <v>156792</v>
      </c>
      <c r="C145" s="9">
        <v>94075.199999999997</v>
      </c>
      <c r="D145" s="9">
        <v>56445.119999999995</v>
      </c>
      <c r="E145" s="9">
        <v>33867.072</v>
      </c>
      <c r="F145" s="9">
        <v>20320.243199999997</v>
      </c>
      <c r="G145" s="9">
        <v>12192.145919999999</v>
      </c>
      <c r="H145" s="9">
        <v>7315.2875519999989</v>
      </c>
    </row>
    <row r="146" spans="2:8" x14ac:dyDescent="0.2">
      <c r="B146" s="9">
        <v>31404650</v>
      </c>
      <c r="C146" s="9">
        <v>27523337.5</v>
      </c>
      <c r="D146" s="9">
        <v>24160882.375</v>
      </c>
      <c r="E146" s="9">
        <v>21237950.368750002</v>
      </c>
      <c r="F146" s="9">
        <v>18690393.768437501</v>
      </c>
      <c r="G146" s="9">
        <v>16465390.446671877</v>
      </c>
      <c r="H146" s="9">
        <v>14518822.079221094</v>
      </c>
    </row>
    <row r="147" spans="2:8" x14ac:dyDescent="0.2">
      <c r="B147" s="9">
        <v>3881312.5</v>
      </c>
      <c r="C147" s="9">
        <v>3362455.125</v>
      </c>
      <c r="D147" s="9">
        <v>2922932.0062500001</v>
      </c>
      <c r="E147" s="9">
        <v>2547556.6003125003</v>
      </c>
      <c r="F147" s="9">
        <v>2225003.3217656249</v>
      </c>
      <c r="G147" s="9">
        <v>1946568.3674507814</v>
      </c>
      <c r="H147" s="9">
        <v>1705383.1140481643</v>
      </c>
    </row>
    <row r="148" spans="2:8" x14ac:dyDescent="0.2">
      <c r="B148" s="9">
        <v>3881312.5</v>
      </c>
      <c r="C148" s="9">
        <v>7243767.625</v>
      </c>
      <c r="D148" s="9">
        <v>10166699.63125</v>
      </c>
      <c r="E148" s="9">
        <v>12714256.231562499</v>
      </c>
      <c r="F148" s="9">
        <v>14939259.553328127</v>
      </c>
      <c r="G148" s="9">
        <v>16885827.920778908</v>
      </c>
      <c r="H148" s="9">
        <v>18591211.034827072</v>
      </c>
    </row>
    <row r="149" spans="2:8" x14ac:dyDescent="0.2">
      <c r="B149" s="9">
        <v>27523337.5</v>
      </c>
      <c r="C149" s="9">
        <v>24160882.375</v>
      </c>
      <c r="D149" s="9">
        <v>21237950.368750002</v>
      </c>
      <c r="E149" s="9">
        <v>18690393.768437501</v>
      </c>
      <c r="F149" s="9">
        <v>16465390.446671877</v>
      </c>
      <c r="G149" s="9">
        <v>14518822.079221094</v>
      </c>
      <c r="H149" s="9">
        <v>12813438.965172928</v>
      </c>
    </row>
  </sheetData>
  <mergeCells count="8">
    <mergeCell ref="A84:J84"/>
    <mergeCell ref="A93:H93"/>
    <mergeCell ref="A107:H107"/>
    <mergeCell ref="A2:L2"/>
    <mergeCell ref="A29:P29"/>
    <mergeCell ref="C32:I32"/>
    <mergeCell ref="L32:R32"/>
    <mergeCell ref="A30:R30"/>
  </mergeCells>
  <pageMargins left="0.7" right="0.7" top="0.75" bottom="0.75" header="0.3" footer="0.3"/>
  <pageSetup paperSize="9" scale="69" orientation="landscape" r:id="rId1"/>
  <rowBreaks count="3" manualBreakCount="3">
    <brk id="48" max="10" man="1"/>
    <brk id="83" max="10" man="1"/>
    <brk id="109" max="10" man="1"/>
  </rowBreaks>
  <colBreaks count="1" manualBreakCount="1">
    <brk id="11" max="106"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J114"/>
  <sheetViews>
    <sheetView view="pageBreakPreview" topLeftCell="A53" zoomScale="80" zoomScaleNormal="55" zoomScaleSheetLayoutView="80" workbookViewId="0">
      <selection activeCell="I29" sqref="I29"/>
    </sheetView>
  </sheetViews>
  <sheetFormatPr defaultRowHeight="15" x14ac:dyDescent="0.2"/>
  <cols>
    <col min="2" max="2" width="15.46875" customWidth="1"/>
    <col min="3" max="3" width="28.11328125" bestFit="1" customWidth="1"/>
    <col min="4" max="4" width="14.66015625" customWidth="1"/>
    <col min="5" max="5" width="25.828125" bestFit="1" customWidth="1"/>
    <col min="6" max="6" width="12.10546875" customWidth="1"/>
    <col min="7" max="7" width="27.3046875" bestFit="1" customWidth="1"/>
    <col min="8" max="8" width="13.31640625" bestFit="1" customWidth="1"/>
    <col min="9" max="9" width="11.703125" bestFit="1" customWidth="1"/>
    <col min="10" max="10" width="10.76171875" bestFit="1" customWidth="1"/>
  </cols>
  <sheetData>
    <row r="2" spans="1:8" ht="18" x14ac:dyDescent="0.2">
      <c r="A2" s="449" t="s">
        <v>557</v>
      </c>
      <c r="B2" s="449"/>
      <c r="C2" s="449"/>
      <c r="D2" s="449"/>
      <c r="E2" s="449"/>
      <c r="F2" s="449"/>
      <c r="G2" s="469"/>
    </row>
    <row r="3" spans="1:8" x14ac:dyDescent="0.2">
      <c r="B3" s="14"/>
      <c r="C3" s="14"/>
      <c r="D3" s="14"/>
      <c r="E3" s="14"/>
      <c r="F3" s="14"/>
      <c r="G3" s="14"/>
    </row>
    <row r="4" spans="1:8" x14ac:dyDescent="0.2">
      <c r="A4" s="89"/>
      <c r="B4" s="89"/>
      <c r="C4" s="89" t="s">
        <v>465</v>
      </c>
      <c r="D4" s="107">
        <f>'1.Project Cost and MOF'!E21</f>
        <v>7661232.318</v>
      </c>
      <c r="E4" s="89"/>
      <c r="F4" s="89"/>
      <c r="G4" s="89"/>
    </row>
    <row r="5" spans="1:8" x14ac:dyDescent="0.2">
      <c r="A5" s="89"/>
      <c r="B5" s="89"/>
      <c r="C5" s="89" t="s">
        <v>466</v>
      </c>
      <c r="D5" s="248">
        <v>0.12</v>
      </c>
      <c r="E5" s="89"/>
      <c r="F5" s="89"/>
      <c r="G5" s="89"/>
    </row>
    <row r="6" spans="1:8" x14ac:dyDescent="0.2">
      <c r="A6" s="89"/>
      <c r="B6" s="89"/>
      <c r="C6" s="89" t="s">
        <v>467</v>
      </c>
      <c r="D6" s="249">
        <v>7</v>
      </c>
      <c r="E6" s="89"/>
      <c r="F6" s="89"/>
      <c r="G6" s="89"/>
    </row>
    <row r="7" spans="1:8" x14ac:dyDescent="0.2">
      <c r="A7" s="89"/>
      <c r="B7" s="89"/>
      <c r="C7" s="89" t="s">
        <v>468</v>
      </c>
      <c r="D7" s="249">
        <v>12</v>
      </c>
      <c r="E7" s="89"/>
      <c r="F7" s="89"/>
      <c r="G7" s="89"/>
    </row>
    <row r="8" spans="1:8" x14ac:dyDescent="0.2">
      <c r="A8" s="89"/>
      <c r="B8" s="89"/>
      <c r="C8" s="89" t="s">
        <v>22</v>
      </c>
      <c r="D8" s="205">
        <f>PMT(D5/12,(D6-(D7/12))*12,-D4)</f>
        <v>149778.56662479922</v>
      </c>
      <c r="E8" s="205"/>
      <c r="F8" s="238"/>
      <c r="G8" s="89"/>
    </row>
    <row r="9" spans="1:8" x14ac:dyDescent="0.2">
      <c r="A9" s="143" t="s">
        <v>292</v>
      </c>
      <c r="B9" s="206" t="s">
        <v>18</v>
      </c>
      <c r="C9" s="207" t="s">
        <v>19</v>
      </c>
      <c r="D9" s="207" t="s">
        <v>20</v>
      </c>
      <c r="E9" s="207" t="s">
        <v>21</v>
      </c>
      <c r="F9" s="207" t="s">
        <v>22</v>
      </c>
      <c r="G9" s="207" t="s">
        <v>23</v>
      </c>
    </row>
    <row r="10" spans="1:8" x14ac:dyDescent="0.2">
      <c r="A10" s="90" t="s">
        <v>11</v>
      </c>
      <c r="B10" s="90" t="s">
        <v>52</v>
      </c>
      <c r="C10" s="91">
        <f>D4</f>
        <v>7661232.318</v>
      </c>
      <c r="D10" s="91">
        <f t="shared" ref="D10:D41" si="0">C10*$D$5/12</f>
        <v>76612.323179999992</v>
      </c>
      <c r="E10" s="91">
        <f t="shared" ref="E10:E15" si="1">F10-D10</f>
        <v>0</v>
      </c>
      <c r="F10" s="91">
        <f>D10</f>
        <v>76612.323179999992</v>
      </c>
      <c r="G10" s="91">
        <f>C10-E10</f>
        <v>7661232.318</v>
      </c>
    </row>
    <row r="11" spans="1:8" x14ac:dyDescent="0.2">
      <c r="A11" s="90"/>
      <c r="B11" s="90" t="s">
        <v>53</v>
      </c>
      <c r="C11" s="91">
        <f>G10</f>
        <v>7661232.318</v>
      </c>
      <c r="D11" s="91">
        <f t="shared" si="0"/>
        <v>76612.323179999992</v>
      </c>
      <c r="E11" s="91">
        <f t="shared" si="1"/>
        <v>0</v>
      </c>
      <c r="F11" s="91">
        <f t="shared" ref="F11:F21" si="2">D11</f>
        <v>76612.323179999992</v>
      </c>
      <c r="G11" s="91">
        <f t="shared" ref="G11:G74" si="3">C11-E11</f>
        <v>7661232.318</v>
      </c>
    </row>
    <row r="12" spans="1:8" x14ac:dyDescent="0.2">
      <c r="A12" s="90"/>
      <c r="B12" s="90" t="s">
        <v>54</v>
      </c>
      <c r="C12" s="91">
        <f t="shared" ref="C12:C75" si="4">G11</f>
        <v>7661232.318</v>
      </c>
      <c r="D12" s="91">
        <f t="shared" si="0"/>
        <v>76612.323179999992</v>
      </c>
      <c r="E12" s="91">
        <f t="shared" si="1"/>
        <v>0</v>
      </c>
      <c r="F12" s="91">
        <f t="shared" si="2"/>
        <v>76612.323179999992</v>
      </c>
      <c r="G12" s="91">
        <f t="shared" si="3"/>
        <v>7661232.318</v>
      </c>
    </row>
    <row r="13" spans="1:8" x14ac:dyDescent="0.2">
      <c r="A13" s="90"/>
      <c r="B13" s="90" t="s">
        <v>55</v>
      </c>
      <c r="C13" s="91">
        <f t="shared" si="4"/>
        <v>7661232.318</v>
      </c>
      <c r="D13" s="91">
        <f t="shared" si="0"/>
        <v>76612.323179999992</v>
      </c>
      <c r="E13" s="91">
        <f t="shared" si="1"/>
        <v>0</v>
      </c>
      <c r="F13" s="91">
        <f t="shared" si="2"/>
        <v>76612.323179999992</v>
      </c>
      <c r="G13" s="91">
        <f t="shared" si="3"/>
        <v>7661232.318</v>
      </c>
    </row>
    <row r="14" spans="1:8" x14ac:dyDescent="0.2">
      <c r="A14" s="90"/>
      <c r="B14" s="90" t="s">
        <v>56</v>
      </c>
      <c r="C14" s="91">
        <f t="shared" si="4"/>
        <v>7661232.318</v>
      </c>
      <c r="D14" s="91">
        <f t="shared" si="0"/>
        <v>76612.323179999992</v>
      </c>
      <c r="E14" s="91">
        <f t="shared" si="1"/>
        <v>0</v>
      </c>
      <c r="F14" s="91">
        <f t="shared" si="2"/>
        <v>76612.323179999992</v>
      </c>
      <c r="G14" s="91">
        <f t="shared" si="3"/>
        <v>7661232.318</v>
      </c>
    </row>
    <row r="15" spans="1:8" x14ac:dyDescent="0.2">
      <c r="A15" s="90"/>
      <c r="B15" s="90" t="s">
        <v>57</v>
      </c>
      <c r="C15" s="91">
        <f t="shared" si="4"/>
        <v>7661232.318</v>
      </c>
      <c r="D15" s="91">
        <f t="shared" si="0"/>
        <v>76612.323179999992</v>
      </c>
      <c r="E15" s="91">
        <f t="shared" si="1"/>
        <v>0</v>
      </c>
      <c r="F15" s="91">
        <f t="shared" si="2"/>
        <v>76612.323179999992</v>
      </c>
      <c r="G15" s="91">
        <f t="shared" si="3"/>
        <v>7661232.318</v>
      </c>
      <c r="H15">
        <v>9</v>
      </c>
    </row>
    <row r="16" spans="1:8" x14ac:dyDescent="0.2">
      <c r="A16" s="90"/>
      <c r="B16" s="90" t="s">
        <v>58</v>
      </c>
      <c r="C16" s="91">
        <f t="shared" si="4"/>
        <v>7661232.318</v>
      </c>
      <c r="D16" s="91">
        <f t="shared" si="0"/>
        <v>76612.323179999992</v>
      </c>
      <c r="E16" s="91">
        <v>0</v>
      </c>
      <c r="F16" s="91">
        <f t="shared" si="2"/>
        <v>76612.323179999992</v>
      </c>
      <c r="G16" s="91">
        <f t="shared" si="3"/>
        <v>7661232.318</v>
      </c>
    </row>
    <row r="17" spans="1:10" x14ac:dyDescent="0.2">
      <c r="A17" s="90"/>
      <c r="B17" s="90" t="s">
        <v>59</v>
      </c>
      <c r="C17" s="91">
        <f t="shared" si="4"/>
        <v>7661232.318</v>
      </c>
      <c r="D17" s="91">
        <f t="shared" si="0"/>
        <v>76612.323179999992</v>
      </c>
      <c r="E17" s="91">
        <v>0</v>
      </c>
      <c r="F17" s="91">
        <f t="shared" si="2"/>
        <v>76612.323179999992</v>
      </c>
      <c r="G17" s="91">
        <f t="shared" si="3"/>
        <v>7661232.318</v>
      </c>
    </row>
    <row r="18" spans="1:10" x14ac:dyDescent="0.2">
      <c r="A18" s="90"/>
      <c r="B18" s="90" t="s">
        <v>60</v>
      </c>
      <c r="C18" s="91">
        <f t="shared" si="4"/>
        <v>7661232.318</v>
      </c>
      <c r="D18" s="91">
        <f t="shared" si="0"/>
        <v>76612.323179999992</v>
      </c>
      <c r="E18" s="91">
        <v>0</v>
      </c>
      <c r="F18" s="91">
        <f t="shared" si="2"/>
        <v>76612.323179999992</v>
      </c>
      <c r="G18" s="91">
        <f t="shared" si="3"/>
        <v>7661232.318</v>
      </c>
    </row>
    <row r="19" spans="1:10" x14ac:dyDescent="0.2">
      <c r="A19" s="90"/>
      <c r="B19" s="90" t="s">
        <v>61</v>
      </c>
      <c r="C19" s="91">
        <f t="shared" si="4"/>
        <v>7661232.318</v>
      </c>
      <c r="D19" s="91">
        <f t="shared" si="0"/>
        <v>76612.323179999992</v>
      </c>
      <c r="E19" s="91">
        <v>0</v>
      </c>
      <c r="F19" s="91">
        <f t="shared" si="2"/>
        <v>76612.323179999992</v>
      </c>
      <c r="G19" s="91">
        <f t="shared" si="3"/>
        <v>7661232.318</v>
      </c>
    </row>
    <row r="20" spans="1:10" x14ac:dyDescent="0.2">
      <c r="A20" s="90"/>
      <c r="B20" s="90" t="s">
        <v>62</v>
      </c>
      <c r="C20" s="91">
        <f t="shared" si="4"/>
        <v>7661232.318</v>
      </c>
      <c r="D20" s="91">
        <f t="shared" si="0"/>
        <v>76612.323179999992</v>
      </c>
      <c r="E20" s="91">
        <v>0</v>
      </c>
      <c r="F20" s="91">
        <f t="shared" si="2"/>
        <v>76612.323179999992</v>
      </c>
      <c r="G20" s="91">
        <f t="shared" si="3"/>
        <v>7661232.318</v>
      </c>
      <c r="H20" t="s">
        <v>719</v>
      </c>
      <c r="I20" t="s">
        <v>22</v>
      </c>
      <c r="J20" t="s">
        <v>720</v>
      </c>
    </row>
    <row r="21" spans="1:10" x14ac:dyDescent="0.2">
      <c r="A21" s="90"/>
      <c r="B21" s="90" t="s">
        <v>63</v>
      </c>
      <c r="C21" s="91">
        <f t="shared" si="4"/>
        <v>7661232.318</v>
      </c>
      <c r="D21" s="91">
        <f t="shared" si="0"/>
        <v>76612.323179999992</v>
      </c>
      <c r="E21" s="91">
        <v>0</v>
      </c>
      <c r="F21" s="91">
        <f t="shared" si="2"/>
        <v>76612.323179999992</v>
      </c>
      <c r="G21" s="91">
        <f>C21-E21</f>
        <v>7661232.318</v>
      </c>
      <c r="H21" s="62">
        <f>SUM(E10:E21)</f>
        <v>0</v>
      </c>
      <c r="I21" s="364">
        <f>SUM(F10:F21)</f>
        <v>919347.87815999973</v>
      </c>
      <c r="J21" s="62">
        <f>SUM(D10:D21)</f>
        <v>919347.87815999973</v>
      </c>
    </row>
    <row r="22" spans="1:10" x14ac:dyDescent="0.2">
      <c r="A22" s="90" t="s">
        <v>12</v>
      </c>
      <c r="B22" s="90" t="s">
        <v>64</v>
      </c>
      <c r="C22" s="91">
        <f t="shared" si="4"/>
        <v>7661232.318</v>
      </c>
      <c r="D22" s="91">
        <f t="shared" si="0"/>
        <v>76612.323179999992</v>
      </c>
      <c r="E22" s="91">
        <f t="shared" ref="E22:E80" si="5">F22-D22</f>
        <v>73166.243444799227</v>
      </c>
      <c r="F22" s="91">
        <f t="shared" ref="F22:F74" si="6">$D$8</f>
        <v>149778.56662479922</v>
      </c>
      <c r="G22" s="91">
        <f t="shared" si="3"/>
        <v>7588066.0745552005</v>
      </c>
      <c r="H22">
        <f>'11.F&amp;V Crop Production details'!H83</f>
        <v>0</v>
      </c>
    </row>
    <row r="23" spans="1:10" x14ac:dyDescent="0.2">
      <c r="A23" s="90"/>
      <c r="B23" s="90" t="s">
        <v>65</v>
      </c>
      <c r="C23" s="91">
        <f t="shared" si="4"/>
        <v>7588066.0745552005</v>
      </c>
      <c r="D23" s="91">
        <f t="shared" si="0"/>
        <v>75880.660745551999</v>
      </c>
      <c r="E23" s="91">
        <f t="shared" si="5"/>
        <v>73897.905879247221</v>
      </c>
      <c r="F23" s="91">
        <f t="shared" si="6"/>
        <v>149778.56662479922</v>
      </c>
      <c r="G23" s="91">
        <f t="shared" si="3"/>
        <v>7514168.1686759535</v>
      </c>
    </row>
    <row r="24" spans="1:10" x14ac:dyDescent="0.2">
      <c r="A24" s="90"/>
      <c r="B24" s="90" t="s">
        <v>66</v>
      </c>
      <c r="C24" s="91">
        <f t="shared" si="4"/>
        <v>7514168.1686759535</v>
      </c>
      <c r="D24" s="91">
        <f t="shared" si="0"/>
        <v>75141.681686759533</v>
      </c>
      <c r="E24" s="91">
        <f t="shared" si="5"/>
        <v>74636.884938039686</v>
      </c>
      <c r="F24" s="91">
        <f t="shared" si="6"/>
        <v>149778.56662479922</v>
      </c>
      <c r="G24" s="91">
        <f t="shared" si="3"/>
        <v>7439531.2837379137</v>
      </c>
    </row>
    <row r="25" spans="1:10" x14ac:dyDescent="0.2">
      <c r="A25" s="90"/>
      <c r="B25" s="90" t="s">
        <v>67</v>
      </c>
      <c r="C25" s="91">
        <f t="shared" si="4"/>
        <v>7439531.2837379137</v>
      </c>
      <c r="D25" s="91">
        <f t="shared" si="0"/>
        <v>74395.312837379126</v>
      </c>
      <c r="E25" s="91">
        <f t="shared" si="5"/>
        <v>75383.253787420093</v>
      </c>
      <c r="F25" s="91">
        <f t="shared" si="6"/>
        <v>149778.56662479922</v>
      </c>
      <c r="G25" s="91">
        <f t="shared" si="3"/>
        <v>7364148.0299504939</v>
      </c>
    </row>
    <row r="26" spans="1:10" x14ac:dyDescent="0.2">
      <c r="A26" s="90"/>
      <c r="B26" s="90" t="s">
        <v>68</v>
      </c>
      <c r="C26" s="91">
        <f t="shared" si="4"/>
        <v>7364148.0299504939</v>
      </c>
      <c r="D26" s="91">
        <f t="shared" si="0"/>
        <v>73641.480299504939</v>
      </c>
      <c r="E26" s="91">
        <f t="shared" si="5"/>
        <v>76137.08632529428</v>
      </c>
      <c r="F26" s="91">
        <f t="shared" si="6"/>
        <v>149778.56662479922</v>
      </c>
      <c r="G26" s="91">
        <f t="shared" si="3"/>
        <v>7288010.9436251996</v>
      </c>
    </row>
    <row r="27" spans="1:10" x14ac:dyDescent="0.2">
      <c r="A27" s="90"/>
      <c r="B27" s="90" t="s">
        <v>69</v>
      </c>
      <c r="C27" s="91">
        <f t="shared" si="4"/>
        <v>7288010.9436251996</v>
      </c>
      <c r="D27" s="91">
        <f t="shared" si="0"/>
        <v>72880.109436251994</v>
      </c>
      <c r="E27" s="91">
        <f t="shared" si="5"/>
        <v>76898.457188547225</v>
      </c>
      <c r="F27" s="91">
        <f t="shared" si="6"/>
        <v>149778.56662479922</v>
      </c>
      <c r="G27" s="91">
        <f t="shared" si="3"/>
        <v>7211112.486436652</v>
      </c>
    </row>
    <row r="28" spans="1:10" x14ac:dyDescent="0.2">
      <c r="A28" s="90"/>
      <c r="B28" s="90" t="s">
        <v>70</v>
      </c>
      <c r="C28" s="91">
        <f t="shared" si="4"/>
        <v>7211112.486436652</v>
      </c>
      <c r="D28" s="91">
        <f t="shared" si="0"/>
        <v>72111.124864366517</v>
      </c>
      <c r="E28" s="91">
        <f t="shared" si="5"/>
        <v>77667.441760432703</v>
      </c>
      <c r="F28" s="91">
        <f t="shared" si="6"/>
        <v>149778.56662479922</v>
      </c>
      <c r="G28" s="91">
        <f t="shared" si="3"/>
        <v>7133445.0446762191</v>
      </c>
    </row>
    <row r="29" spans="1:10" x14ac:dyDescent="0.2">
      <c r="A29" s="90"/>
      <c r="B29" s="90" t="s">
        <v>71</v>
      </c>
      <c r="C29" s="91">
        <f t="shared" si="4"/>
        <v>7133445.0446762191</v>
      </c>
      <c r="D29" s="91">
        <f t="shared" si="0"/>
        <v>71334.450446762188</v>
      </c>
      <c r="E29" s="91">
        <f t="shared" si="5"/>
        <v>78444.116178037031</v>
      </c>
      <c r="F29" s="91">
        <f t="shared" si="6"/>
        <v>149778.56662479922</v>
      </c>
      <c r="G29" s="91">
        <f t="shared" si="3"/>
        <v>7055000.9284981824</v>
      </c>
    </row>
    <row r="30" spans="1:10" x14ac:dyDescent="0.2">
      <c r="A30" s="90"/>
      <c r="B30" s="90" t="s">
        <v>72</v>
      </c>
      <c r="C30" s="91">
        <f t="shared" si="4"/>
        <v>7055000.9284981824</v>
      </c>
      <c r="D30" s="91">
        <f t="shared" si="0"/>
        <v>70550.009284981817</v>
      </c>
      <c r="E30" s="91">
        <f t="shared" si="5"/>
        <v>79228.557339817402</v>
      </c>
      <c r="F30" s="91">
        <f t="shared" si="6"/>
        <v>149778.56662479922</v>
      </c>
      <c r="G30" s="91">
        <f t="shared" si="3"/>
        <v>6975772.3711583652</v>
      </c>
    </row>
    <row r="31" spans="1:10" x14ac:dyDescent="0.2">
      <c r="A31" s="90"/>
      <c r="B31" s="90" t="s">
        <v>73</v>
      </c>
      <c r="C31" s="91">
        <f t="shared" si="4"/>
        <v>6975772.3711583652</v>
      </c>
      <c r="D31" s="91">
        <f t="shared" si="0"/>
        <v>69757.723711583647</v>
      </c>
      <c r="E31" s="91">
        <f t="shared" si="5"/>
        <v>80020.842913215572</v>
      </c>
      <c r="F31" s="91">
        <f t="shared" si="6"/>
        <v>149778.56662479922</v>
      </c>
      <c r="G31" s="91">
        <f t="shared" si="3"/>
        <v>6895751.5282451492</v>
      </c>
    </row>
    <row r="32" spans="1:10" x14ac:dyDescent="0.2">
      <c r="A32" s="90"/>
      <c r="B32" s="90" t="s">
        <v>74</v>
      </c>
      <c r="C32" s="91">
        <f t="shared" si="4"/>
        <v>6895751.5282451492</v>
      </c>
      <c r="D32" s="91">
        <f t="shared" si="0"/>
        <v>68957.515282451481</v>
      </c>
      <c r="E32" s="91">
        <f t="shared" si="5"/>
        <v>80821.051342347739</v>
      </c>
      <c r="F32" s="91">
        <f t="shared" si="6"/>
        <v>149778.56662479922</v>
      </c>
      <c r="G32" s="91">
        <f t="shared" si="3"/>
        <v>6814930.4769028015</v>
      </c>
      <c r="H32" t="s">
        <v>719</v>
      </c>
      <c r="I32" t="s">
        <v>22</v>
      </c>
      <c r="J32" t="s">
        <v>720</v>
      </c>
    </row>
    <row r="33" spans="1:10" x14ac:dyDescent="0.2">
      <c r="A33" s="90"/>
      <c r="B33" s="90" t="s">
        <v>75</v>
      </c>
      <c r="C33" s="91">
        <f t="shared" si="4"/>
        <v>6814930.4769028015</v>
      </c>
      <c r="D33" s="91">
        <f t="shared" si="0"/>
        <v>68149.304769028022</v>
      </c>
      <c r="E33" s="91">
        <f t="shared" si="5"/>
        <v>81629.261855771198</v>
      </c>
      <c r="F33" s="91">
        <f t="shared" si="6"/>
        <v>149778.56662479922</v>
      </c>
      <c r="G33" s="91">
        <f>C33-E33</f>
        <v>6733301.2150470307</v>
      </c>
      <c r="H33" s="62">
        <f>SUM(E22:E33)</f>
        <v>927931.10295296949</v>
      </c>
      <c r="I33" s="364">
        <f>SUM(F22:F33)</f>
        <v>1797342.7994975911</v>
      </c>
      <c r="J33" s="62">
        <f>SUM(D22:D33)</f>
        <v>869411.69654462114</v>
      </c>
    </row>
    <row r="34" spans="1:10" x14ac:dyDescent="0.2">
      <c r="A34" s="90" t="s">
        <v>13</v>
      </c>
      <c r="B34" s="90" t="s">
        <v>76</v>
      </c>
      <c r="C34" s="91">
        <f t="shared" si="4"/>
        <v>6733301.2150470307</v>
      </c>
      <c r="D34" s="91">
        <f t="shared" si="0"/>
        <v>67333.012150470298</v>
      </c>
      <c r="E34" s="91">
        <f t="shared" si="5"/>
        <v>82445.554474328921</v>
      </c>
      <c r="F34" s="91">
        <f t="shared" si="6"/>
        <v>149778.56662479922</v>
      </c>
      <c r="G34" s="91">
        <f t="shared" si="3"/>
        <v>6650855.6605727021</v>
      </c>
    </row>
    <row r="35" spans="1:10" x14ac:dyDescent="0.2">
      <c r="A35" s="90"/>
      <c r="B35" s="90" t="s">
        <v>77</v>
      </c>
      <c r="C35" s="91">
        <f t="shared" si="4"/>
        <v>6650855.6605727021</v>
      </c>
      <c r="D35" s="91">
        <f t="shared" si="0"/>
        <v>66508.556605727019</v>
      </c>
      <c r="E35" s="91">
        <f t="shared" si="5"/>
        <v>83270.010019072201</v>
      </c>
      <c r="F35" s="91">
        <f t="shared" si="6"/>
        <v>149778.56662479922</v>
      </c>
      <c r="G35" s="91">
        <f t="shared" si="3"/>
        <v>6567585.6505536297</v>
      </c>
    </row>
    <row r="36" spans="1:10" x14ac:dyDescent="0.2">
      <c r="A36" s="90"/>
      <c r="B36" s="90" t="s">
        <v>78</v>
      </c>
      <c r="C36" s="91">
        <f t="shared" si="4"/>
        <v>6567585.6505536297</v>
      </c>
      <c r="D36" s="91">
        <f t="shared" si="0"/>
        <v>65675.8565055363</v>
      </c>
      <c r="E36" s="91">
        <f t="shared" si="5"/>
        <v>84102.71011926292</v>
      </c>
      <c r="F36" s="91">
        <f t="shared" si="6"/>
        <v>149778.56662479922</v>
      </c>
      <c r="G36" s="91">
        <f t="shared" si="3"/>
        <v>6483482.9404343665</v>
      </c>
    </row>
    <row r="37" spans="1:10" x14ac:dyDescent="0.2">
      <c r="A37" s="90"/>
      <c r="B37" s="90" t="s">
        <v>79</v>
      </c>
      <c r="C37" s="91">
        <f t="shared" si="4"/>
        <v>6483482.9404343665</v>
      </c>
      <c r="D37" s="91">
        <f t="shared" si="0"/>
        <v>64834.829404343669</v>
      </c>
      <c r="E37" s="91">
        <f t="shared" si="5"/>
        <v>84943.737220455543</v>
      </c>
      <c r="F37" s="91">
        <f t="shared" si="6"/>
        <v>149778.56662479922</v>
      </c>
      <c r="G37" s="91">
        <f t="shared" si="3"/>
        <v>6398539.2032139106</v>
      </c>
    </row>
    <row r="38" spans="1:10" x14ac:dyDescent="0.2">
      <c r="A38" s="90"/>
      <c r="B38" s="90" t="s">
        <v>80</v>
      </c>
      <c r="C38" s="91">
        <f t="shared" si="4"/>
        <v>6398539.2032139106</v>
      </c>
      <c r="D38" s="91">
        <f t="shared" si="0"/>
        <v>63985.392032139098</v>
      </c>
      <c r="E38" s="91">
        <f t="shared" si="5"/>
        <v>85793.174592660129</v>
      </c>
      <c r="F38" s="91">
        <f t="shared" si="6"/>
        <v>149778.56662479922</v>
      </c>
      <c r="G38" s="91">
        <f t="shared" si="3"/>
        <v>6312746.0286212508</v>
      </c>
    </row>
    <row r="39" spans="1:10" x14ac:dyDescent="0.2">
      <c r="A39" s="90"/>
      <c r="B39" s="90" t="s">
        <v>81</v>
      </c>
      <c r="C39" s="91">
        <f t="shared" si="4"/>
        <v>6312746.0286212508</v>
      </c>
      <c r="D39" s="91">
        <f t="shared" si="0"/>
        <v>63127.460286212503</v>
      </c>
      <c r="E39" s="91">
        <f t="shared" si="5"/>
        <v>86651.106338586716</v>
      </c>
      <c r="F39" s="91">
        <f t="shared" si="6"/>
        <v>149778.56662479922</v>
      </c>
      <c r="G39" s="91">
        <f t="shared" si="3"/>
        <v>6226094.9222826641</v>
      </c>
    </row>
    <row r="40" spans="1:10" x14ac:dyDescent="0.2">
      <c r="A40" s="90"/>
      <c r="B40" s="90" t="s">
        <v>82</v>
      </c>
      <c r="C40" s="91">
        <f t="shared" si="4"/>
        <v>6226094.9222826641</v>
      </c>
      <c r="D40" s="91">
        <f t="shared" si="0"/>
        <v>62260.949222826639</v>
      </c>
      <c r="E40" s="91">
        <f t="shared" si="5"/>
        <v>87517.617401972588</v>
      </c>
      <c r="F40" s="91">
        <f t="shared" si="6"/>
        <v>149778.56662479922</v>
      </c>
      <c r="G40" s="91">
        <f t="shared" si="3"/>
        <v>6138577.3048806917</v>
      </c>
    </row>
    <row r="41" spans="1:10" x14ac:dyDescent="0.2">
      <c r="A41" s="90"/>
      <c r="B41" s="90" t="s">
        <v>83</v>
      </c>
      <c r="C41" s="91">
        <f t="shared" si="4"/>
        <v>6138577.3048806917</v>
      </c>
      <c r="D41" s="91">
        <f t="shared" si="0"/>
        <v>61385.773048806914</v>
      </c>
      <c r="E41" s="91">
        <f t="shared" si="5"/>
        <v>88392.793575992313</v>
      </c>
      <c r="F41" s="91">
        <f t="shared" si="6"/>
        <v>149778.56662479922</v>
      </c>
      <c r="G41" s="91">
        <f t="shared" si="3"/>
        <v>6050184.5113046998</v>
      </c>
    </row>
    <row r="42" spans="1:10" x14ac:dyDescent="0.2">
      <c r="A42" s="90"/>
      <c r="B42" s="90" t="s">
        <v>84</v>
      </c>
      <c r="C42" s="91">
        <f t="shared" si="4"/>
        <v>6050184.5113046998</v>
      </c>
      <c r="D42" s="91">
        <f t="shared" ref="D42:D73" si="7">C42*$D$5/12</f>
        <v>60501.845113046991</v>
      </c>
      <c r="E42" s="91">
        <f t="shared" si="5"/>
        <v>89276.721511752228</v>
      </c>
      <c r="F42" s="91">
        <f t="shared" si="6"/>
        <v>149778.56662479922</v>
      </c>
      <c r="G42" s="91">
        <f t="shared" si="3"/>
        <v>5960907.7897929475</v>
      </c>
    </row>
    <row r="43" spans="1:10" x14ac:dyDescent="0.2">
      <c r="A43" s="90"/>
      <c r="B43" s="90" t="s">
        <v>85</v>
      </c>
      <c r="C43" s="91">
        <f t="shared" si="4"/>
        <v>5960907.7897929475</v>
      </c>
      <c r="D43" s="91">
        <f t="shared" si="7"/>
        <v>59609.07789792947</v>
      </c>
      <c r="E43" s="91">
        <f t="shared" si="5"/>
        <v>90169.488726869749</v>
      </c>
      <c r="F43" s="91">
        <f t="shared" si="6"/>
        <v>149778.56662479922</v>
      </c>
      <c r="G43" s="91">
        <f t="shared" si="3"/>
        <v>5870738.3010660773</v>
      </c>
    </row>
    <row r="44" spans="1:10" x14ac:dyDescent="0.2">
      <c r="A44" s="90"/>
      <c r="B44" s="90" t="s">
        <v>86</v>
      </c>
      <c r="C44" s="91">
        <f t="shared" si="4"/>
        <v>5870738.3010660773</v>
      </c>
      <c r="D44" s="91">
        <f t="shared" si="7"/>
        <v>58707.383010660771</v>
      </c>
      <c r="E44" s="91">
        <f t="shared" si="5"/>
        <v>91071.183614138456</v>
      </c>
      <c r="F44" s="91">
        <f t="shared" si="6"/>
        <v>149778.56662479922</v>
      </c>
      <c r="G44" s="91">
        <f t="shared" si="3"/>
        <v>5779667.1174519388</v>
      </c>
      <c r="H44" t="s">
        <v>719</v>
      </c>
      <c r="I44" t="s">
        <v>22</v>
      </c>
      <c r="J44" t="s">
        <v>720</v>
      </c>
    </row>
    <row r="45" spans="1:10" x14ac:dyDescent="0.2">
      <c r="A45" s="90"/>
      <c r="B45" s="90" t="s">
        <v>87</v>
      </c>
      <c r="C45" s="91">
        <f t="shared" si="4"/>
        <v>5779667.1174519388</v>
      </c>
      <c r="D45" s="91">
        <f t="shared" si="7"/>
        <v>57796.671174519382</v>
      </c>
      <c r="E45" s="91">
        <f t="shared" si="5"/>
        <v>91981.895450279844</v>
      </c>
      <c r="F45" s="91">
        <f t="shared" si="6"/>
        <v>149778.56662479922</v>
      </c>
      <c r="G45" s="91">
        <f t="shared" si="3"/>
        <v>5687685.2220016588</v>
      </c>
      <c r="H45" s="62">
        <f>SUM(E34:E45)</f>
        <v>1045615.9930453717</v>
      </c>
      <c r="I45" s="364">
        <f>SUM(F34:F45)</f>
        <v>1797342.7994975911</v>
      </c>
      <c r="J45" s="62">
        <f>SUM(D34:D45)</f>
        <v>751726.80645221903</v>
      </c>
    </row>
    <row r="46" spans="1:10" x14ac:dyDescent="0.2">
      <c r="A46" s="90" t="s">
        <v>14</v>
      </c>
      <c r="B46" s="90" t="s">
        <v>88</v>
      </c>
      <c r="C46" s="91">
        <f t="shared" si="4"/>
        <v>5687685.2220016588</v>
      </c>
      <c r="D46" s="91">
        <f t="shared" si="7"/>
        <v>56876.85222001659</v>
      </c>
      <c r="E46" s="91">
        <f t="shared" si="5"/>
        <v>92901.71440478263</v>
      </c>
      <c r="F46" s="91">
        <f t="shared" si="6"/>
        <v>149778.56662479922</v>
      </c>
      <c r="G46" s="91">
        <f t="shared" si="3"/>
        <v>5594783.5075968765</v>
      </c>
    </row>
    <row r="47" spans="1:10" x14ac:dyDescent="0.2">
      <c r="A47" s="90"/>
      <c r="B47" s="90" t="s">
        <v>89</v>
      </c>
      <c r="C47" s="91">
        <f t="shared" si="4"/>
        <v>5594783.5075968765</v>
      </c>
      <c r="D47" s="91">
        <f t="shared" si="7"/>
        <v>55947.83507596876</v>
      </c>
      <c r="E47" s="91">
        <f t="shared" si="5"/>
        <v>93830.731548830459</v>
      </c>
      <c r="F47" s="91">
        <f t="shared" si="6"/>
        <v>149778.56662479922</v>
      </c>
      <c r="G47" s="91">
        <f t="shared" si="3"/>
        <v>5500952.7760480456</v>
      </c>
    </row>
    <row r="48" spans="1:10" x14ac:dyDescent="0.2">
      <c r="A48" s="90"/>
      <c r="B48" s="90" t="s">
        <v>90</v>
      </c>
      <c r="C48" s="91">
        <f t="shared" si="4"/>
        <v>5500952.7760480456</v>
      </c>
      <c r="D48" s="91">
        <f t="shared" si="7"/>
        <v>55009.527760480451</v>
      </c>
      <c r="E48" s="91">
        <f t="shared" si="5"/>
        <v>94769.038864318776</v>
      </c>
      <c r="F48" s="91">
        <f t="shared" si="6"/>
        <v>149778.56662479922</v>
      </c>
      <c r="G48" s="91">
        <f t="shared" si="3"/>
        <v>5406183.7371837264</v>
      </c>
    </row>
    <row r="49" spans="1:10" x14ac:dyDescent="0.2">
      <c r="A49" s="90"/>
      <c r="B49" s="90" t="s">
        <v>91</v>
      </c>
      <c r="C49" s="91">
        <f t="shared" si="4"/>
        <v>5406183.7371837264</v>
      </c>
      <c r="D49" s="91">
        <f t="shared" si="7"/>
        <v>54061.83737183726</v>
      </c>
      <c r="E49" s="91">
        <f t="shared" si="5"/>
        <v>95716.729252961959</v>
      </c>
      <c r="F49" s="91">
        <f t="shared" si="6"/>
        <v>149778.56662479922</v>
      </c>
      <c r="G49" s="91">
        <f t="shared" si="3"/>
        <v>5310467.007930764</v>
      </c>
    </row>
    <row r="50" spans="1:10" x14ac:dyDescent="0.2">
      <c r="A50" s="90"/>
      <c r="B50" s="90" t="s">
        <v>92</v>
      </c>
      <c r="C50" s="91">
        <f t="shared" si="4"/>
        <v>5310467.007930764</v>
      </c>
      <c r="D50" s="91">
        <f t="shared" si="7"/>
        <v>53104.670079307638</v>
      </c>
      <c r="E50" s="91">
        <f t="shared" si="5"/>
        <v>96673.896545491589</v>
      </c>
      <c r="F50" s="91">
        <f t="shared" si="6"/>
        <v>149778.56662479922</v>
      </c>
      <c r="G50" s="91">
        <f t="shared" si="3"/>
        <v>5213793.1113852728</v>
      </c>
    </row>
    <row r="51" spans="1:10" x14ac:dyDescent="0.2">
      <c r="A51" s="90"/>
      <c r="B51" s="90" t="s">
        <v>93</v>
      </c>
      <c r="C51" s="91">
        <f t="shared" si="4"/>
        <v>5213793.1113852728</v>
      </c>
      <c r="D51" s="91">
        <f t="shared" si="7"/>
        <v>52137.931113852719</v>
      </c>
      <c r="E51" s="91">
        <f t="shared" si="5"/>
        <v>97640.635510946508</v>
      </c>
      <c r="F51" s="91">
        <f t="shared" si="6"/>
        <v>149778.56662479922</v>
      </c>
      <c r="G51" s="91">
        <f t="shared" si="3"/>
        <v>5116152.4758743262</v>
      </c>
    </row>
    <row r="52" spans="1:10" x14ac:dyDescent="0.2">
      <c r="A52" s="90"/>
      <c r="B52" s="90" t="s">
        <v>94</v>
      </c>
      <c r="C52" s="91">
        <f t="shared" si="4"/>
        <v>5116152.4758743262</v>
      </c>
      <c r="D52" s="91">
        <f t="shared" si="7"/>
        <v>51161.52475874326</v>
      </c>
      <c r="E52" s="91">
        <f t="shared" si="5"/>
        <v>98617.041866055952</v>
      </c>
      <c r="F52" s="91">
        <f t="shared" si="6"/>
        <v>149778.56662479922</v>
      </c>
      <c r="G52" s="91">
        <f t="shared" si="3"/>
        <v>5017535.4340082705</v>
      </c>
    </row>
    <row r="53" spans="1:10" x14ac:dyDescent="0.2">
      <c r="A53" s="90"/>
      <c r="B53" s="90" t="s">
        <v>95</v>
      </c>
      <c r="C53" s="91">
        <f t="shared" si="4"/>
        <v>5017535.4340082705</v>
      </c>
      <c r="D53" s="91">
        <f t="shared" si="7"/>
        <v>50175.354340082704</v>
      </c>
      <c r="E53" s="91">
        <f t="shared" si="5"/>
        <v>99603.212284716516</v>
      </c>
      <c r="F53" s="91">
        <f t="shared" si="6"/>
        <v>149778.56662479922</v>
      </c>
      <c r="G53" s="91">
        <f t="shared" si="3"/>
        <v>4917932.2217235537</v>
      </c>
    </row>
    <row r="54" spans="1:10" x14ac:dyDescent="0.2">
      <c r="A54" s="90"/>
      <c r="B54" s="90" t="s">
        <v>96</v>
      </c>
      <c r="C54" s="91">
        <f t="shared" si="4"/>
        <v>4917932.2217235537</v>
      </c>
      <c r="D54" s="91">
        <f t="shared" si="7"/>
        <v>49179.322217235538</v>
      </c>
      <c r="E54" s="91">
        <f t="shared" si="5"/>
        <v>100599.24440756367</v>
      </c>
      <c r="F54" s="91">
        <f t="shared" si="6"/>
        <v>149778.56662479922</v>
      </c>
      <c r="G54" s="91">
        <f t="shared" si="3"/>
        <v>4817332.9773159903</v>
      </c>
    </row>
    <row r="55" spans="1:10" x14ac:dyDescent="0.2">
      <c r="A55" s="90"/>
      <c r="B55" s="90" t="s">
        <v>97</v>
      </c>
      <c r="C55" s="91">
        <f t="shared" si="4"/>
        <v>4817332.9773159903</v>
      </c>
      <c r="D55" s="91">
        <f t="shared" si="7"/>
        <v>48173.329773159901</v>
      </c>
      <c r="E55" s="91">
        <f t="shared" si="5"/>
        <v>101605.23685163932</v>
      </c>
      <c r="F55" s="91">
        <f t="shared" si="6"/>
        <v>149778.56662479922</v>
      </c>
      <c r="G55" s="91">
        <f t="shared" si="3"/>
        <v>4715727.7404643511</v>
      </c>
    </row>
    <row r="56" spans="1:10" x14ac:dyDescent="0.2">
      <c r="A56" s="90"/>
      <c r="B56" s="90" t="s">
        <v>98</v>
      </c>
      <c r="C56" s="91">
        <f t="shared" si="4"/>
        <v>4715727.7404643511</v>
      </c>
      <c r="D56" s="91">
        <f t="shared" si="7"/>
        <v>47157.277404643508</v>
      </c>
      <c r="E56" s="91">
        <f t="shared" si="5"/>
        <v>102621.28922015571</v>
      </c>
      <c r="F56" s="91">
        <f t="shared" si="6"/>
        <v>149778.56662479922</v>
      </c>
      <c r="G56" s="91">
        <f t="shared" si="3"/>
        <v>4613106.451244195</v>
      </c>
      <c r="H56" t="s">
        <v>719</v>
      </c>
      <c r="I56" t="s">
        <v>22</v>
      </c>
      <c r="J56" t="s">
        <v>720</v>
      </c>
    </row>
    <row r="57" spans="1:10" x14ac:dyDescent="0.2">
      <c r="A57" s="90"/>
      <c r="B57" s="90" t="s">
        <v>99</v>
      </c>
      <c r="C57" s="91">
        <f t="shared" si="4"/>
        <v>4613106.451244195</v>
      </c>
      <c r="D57" s="91">
        <f t="shared" si="7"/>
        <v>46131.064512441946</v>
      </c>
      <c r="E57" s="91">
        <f t="shared" si="5"/>
        <v>103647.50211235727</v>
      </c>
      <c r="F57" s="91">
        <f t="shared" si="6"/>
        <v>149778.56662479922</v>
      </c>
      <c r="G57" s="91">
        <f t="shared" si="3"/>
        <v>4509458.949131838</v>
      </c>
      <c r="H57" s="62">
        <f>SUM(E46:E57)</f>
        <v>1178226.2728698202</v>
      </c>
      <c r="I57" s="364">
        <f>SUM(F46:F57)</f>
        <v>1797342.7994975911</v>
      </c>
      <c r="J57" s="62">
        <f>SUM(D46:D57)</f>
        <v>619116.52662777016</v>
      </c>
    </row>
    <row r="58" spans="1:10" x14ac:dyDescent="0.2">
      <c r="A58" s="90" t="s">
        <v>15</v>
      </c>
      <c r="B58" s="90" t="s">
        <v>100</v>
      </c>
      <c r="C58" s="91">
        <f t="shared" si="4"/>
        <v>4509458.949131838</v>
      </c>
      <c r="D58" s="91">
        <f t="shared" si="7"/>
        <v>45094.58949131838</v>
      </c>
      <c r="E58" s="91">
        <f t="shared" si="5"/>
        <v>104683.97713348083</v>
      </c>
      <c r="F58" s="91">
        <f t="shared" si="6"/>
        <v>149778.56662479922</v>
      </c>
      <c r="G58" s="91">
        <f t="shared" si="3"/>
        <v>4404774.9719983572</v>
      </c>
    </row>
    <row r="59" spans="1:10" x14ac:dyDescent="0.2">
      <c r="A59" s="90"/>
      <c r="B59" s="90" t="s">
        <v>101</v>
      </c>
      <c r="C59" s="91">
        <f t="shared" si="4"/>
        <v>4404774.9719983572</v>
      </c>
      <c r="D59" s="91">
        <f t="shared" si="7"/>
        <v>44047.749719983571</v>
      </c>
      <c r="E59" s="91">
        <f t="shared" si="5"/>
        <v>105730.81690481564</v>
      </c>
      <c r="F59" s="91">
        <f t="shared" si="6"/>
        <v>149778.56662479922</v>
      </c>
      <c r="G59" s="91">
        <f t="shared" si="3"/>
        <v>4299044.1550935414</v>
      </c>
    </row>
    <row r="60" spans="1:10" x14ac:dyDescent="0.2">
      <c r="A60" s="90"/>
      <c r="B60" s="90" t="s">
        <v>102</v>
      </c>
      <c r="C60" s="91">
        <f t="shared" si="4"/>
        <v>4299044.1550935414</v>
      </c>
      <c r="D60" s="91">
        <f t="shared" si="7"/>
        <v>42990.441550935408</v>
      </c>
      <c r="E60" s="91">
        <f t="shared" si="5"/>
        <v>106788.1250738638</v>
      </c>
      <c r="F60" s="91">
        <f t="shared" si="6"/>
        <v>149778.56662479922</v>
      </c>
      <c r="G60" s="91">
        <f t="shared" si="3"/>
        <v>4192256.0300196777</v>
      </c>
    </row>
    <row r="61" spans="1:10" x14ac:dyDescent="0.2">
      <c r="A61" s="90"/>
      <c r="B61" s="90" t="s">
        <v>103</v>
      </c>
      <c r="C61" s="91">
        <f t="shared" si="4"/>
        <v>4192256.0300196777</v>
      </c>
      <c r="D61" s="91">
        <f t="shared" si="7"/>
        <v>41922.560300196776</v>
      </c>
      <c r="E61" s="91">
        <f t="shared" si="5"/>
        <v>107856.00632460244</v>
      </c>
      <c r="F61" s="91">
        <f t="shared" si="6"/>
        <v>149778.56662479922</v>
      </c>
      <c r="G61" s="91">
        <f t="shared" si="3"/>
        <v>4084400.0236950754</v>
      </c>
    </row>
    <row r="62" spans="1:10" x14ac:dyDescent="0.2">
      <c r="A62" s="90"/>
      <c r="B62" s="90" t="s">
        <v>104</v>
      </c>
      <c r="C62" s="91">
        <f t="shared" si="4"/>
        <v>4084400.0236950754</v>
      </c>
      <c r="D62" s="91">
        <f t="shared" si="7"/>
        <v>40844.000236950749</v>
      </c>
      <c r="E62" s="91">
        <f t="shared" si="5"/>
        <v>108934.56638784846</v>
      </c>
      <c r="F62" s="91">
        <f t="shared" si="6"/>
        <v>149778.56662479922</v>
      </c>
      <c r="G62" s="91">
        <f t="shared" si="3"/>
        <v>3975465.457307227</v>
      </c>
    </row>
    <row r="63" spans="1:10" x14ac:dyDescent="0.2">
      <c r="A63" s="90"/>
      <c r="B63" s="90" t="s">
        <v>105</v>
      </c>
      <c r="C63" s="91">
        <f t="shared" si="4"/>
        <v>3975465.457307227</v>
      </c>
      <c r="D63" s="91">
        <f t="shared" si="7"/>
        <v>39754.654573072265</v>
      </c>
      <c r="E63" s="91">
        <f t="shared" si="5"/>
        <v>110023.91205172695</v>
      </c>
      <c r="F63" s="91">
        <f t="shared" si="6"/>
        <v>149778.56662479922</v>
      </c>
      <c r="G63" s="91">
        <f t="shared" si="3"/>
        <v>3865441.5452554999</v>
      </c>
    </row>
    <row r="64" spans="1:10" x14ac:dyDescent="0.2">
      <c r="A64" s="90"/>
      <c r="B64" s="90" t="s">
        <v>106</v>
      </c>
      <c r="C64" s="91">
        <f t="shared" si="4"/>
        <v>3865441.5452554999</v>
      </c>
      <c r="D64" s="91">
        <f t="shared" si="7"/>
        <v>38654.415452554997</v>
      </c>
      <c r="E64" s="91">
        <f t="shared" si="5"/>
        <v>111124.15117224422</v>
      </c>
      <c r="F64" s="91">
        <f t="shared" si="6"/>
        <v>149778.56662479922</v>
      </c>
      <c r="G64" s="91">
        <f t="shared" si="3"/>
        <v>3754317.3940832559</v>
      </c>
    </row>
    <row r="65" spans="1:10" x14ac:dyDescent="0.2">
      <c r="A65" s="90"/>
      <c r="B65" s="90" t="s">
        <v>107</v>
      </c>
      <c r="C65" s="91">
        <f t="shared" si="4"/>
        <v>3754317.3940832559</v>
      </c>
      <c r="D65" s="91">
        <f t="shared" si="7"/>
        <v>37543.173940832559</v>
      </c>
      <c r="E65" s="91">
        <f t="shared" si="5"/>
        <v>112235.39268396667</v>
      </c>
      <c r="F65" s="91">
        <f t="shared" si="6"/>
        <v>149778.56662479922</v>
      </c>
      <c r="G65" s="91">
        <f t="shared" si="3"/>
        <v>3642082.0013992894</v>
      </c>
    </row>
    <row r="66" spans="1:10" x14ac:dyDescent="0.2">
      <c r="A66" s="90"/>
      <c r="B66" s="90" t="s">
        <v>108</v>
      </c>
      <c r="C66" s="91">
        <f t="shared" si="4"/>
        <v>3642082.0013992894</v>
      </c>
      <c r="D66" s="91">
        <f t="shared" si="7"/>
        <v>36420.820013992889</v>
      </c>
      <c r="E66" s="91">
        <f t="shared" si="5"/>
        <v>113357.74661080632</v>
      </c>
      <c r="F66" s="91">
        <f t="shared" si="6"/>
        <v>149778.56662479922</v>
      </c>
      <c r="G66" s="91">
        <f t="shared" si="3"/>
        <v>3528724.254788483</v>
      </c>
    </row>
    <row r="67" spans="1:10" x14ac:dyDescent="0.2">
      <c r="A67" s="90"/>
      <c r="B67" s="90" t="s">
        <v>109</v>
      </c>
      <c r="C67" s="91">
        <f t="shared" si="4"/>
        <v>3528724.254788483</v>
      </c>
      <c r="D67" s="91">
        <f t="shared" si="7"/>
        <v>35287.242547884831</v>
      </c>
      <c r="E67" s="91">
        <f t="shared" si="5"/>
        <v>114491.32407691439</v>
      </c>
      <c r="F67" s="91">
        <f t="shared" si="6"/>
        <v>149778.56662479922</v>
      </c>
      <c r="G67" s="91">
        <f t="shared" si="3"/>
        <v>3414232.9307115688</v>
      </c>
    </row>
    <row r="68" spans="1:10" x14ac:dyDescent="0.2">
      <c r="A68" s="90"/>
      <c r="B68" s="90" t="s">
        <v>110</v>
      </c>
      <c r="C68" s="91">
        <f t="shared" si="4"/>
        <v>3414232.9307115688</v>
      </c>
      <c r="D68" s="91">
        <f t="shared" si="7"/>
        <v>34142.329307115688</v>
      </c>
      <c r="E68" s="91">
        <f t="shared" si="5"/>
        <v>115636.23731768352</v>
      </c>
      <c r="F68" s="91">
        <f t="shared" si="6"/>
        <v>149778.56662479922</v>
      </c>
      <c r="G68" s="91">
        <f t="shared" si="3"/>
        <v>3298596.6933938852</v>
      </c>
      <c r="H68" t="s">
        <v>719</v>
      </c>
      <c r="I68" t="s">
        <v>22</v>
      </c>
      <c r="J68" t="s">
        <v>720</v>
      </c>
    </row>
    <row r="69" spans="1:10" x14ac:dyDescent="0.2">
      <c r="A69" s="90"/>
      <c r="B69" s="90" t="s">
        <v>111</v>
      </c>
      <c r="C69" s="91">
        <f t="shared" si="4"/>
        <v>3298596.6933938852</v>
      </c>
      <c r="D69" s="91">
        <f t="shared" si="7"/>
        <v>32985.966933938849</v>
      </c>
      <c r="E69" s="91">
        <f t="shared" si="5"/>
        <v>116792.59969086037</v>
      </c>
      <c r="F69" s="91">
        <f t="shared" si="6"/>
        <v>149778.56662479922</v>
      </c>
      <c r="G69" s="91">
        <f t="shared" si="3"/>
        <v>3181804.093703025</v>
      </c>
      <c r="H69" s="62">
        <f>SUM(E58:E69)</f>
        <v>1327654.8554288137</v>
      </c>
      <c r="I69" s="364">
        <f>SUM(F58:F69)</f>
        <v>1797342.7994975911</v>
      </c>
      <c r="J69" s="62">
        <f>SUM(D58:D69)</f>
        <v>469687.94406877697</v>
      </c>
    </row>
    <row r="70" spans="1:10" x14ac:dyDescent="0.2">
      <c r="A70" s="90" t="s">
        <v>16</v>
      </c>
      <c r="B70" s="90" t="s">
        <v>112</v>
      </c>
      <c r="C70" s="91">
        <f t="shared" si="4"/>
        <v>3181804.093703025</v>
      </c>
      <c r="D70" s="91">
        <f t="shared" si="7"/>
        <v>31818.040937030251</v>
      </c>
      <c r="E70" s="91">
        <f t="shared" si="5"/>
        <v>117960.52568776897</v>
      </c>
      <c r="F70" s="91">
        <f t="shared" si="6"/>
        <v>149778.56662479922</v>
      </c>
      <c r="G70" s="91">
        <f t="shared" si="3"/>
        <v>3063843.568015256</v>
      </c>
    </row>
    <row r="71" spans="1:10" x14ac:dyDescent="0.2">
      <c r="A71" s="90"/>
      <c r="B71" s="90" t="s">
        <v>113</v>
      </c>
      <c r="C71" s="91">
        <f t="shared" si="4"/>
        <v>3063843.568015256</v>
      </c>
      <c r="D71" s="91">
        <f t="shared" si="7"/>
        <v>30638.435680152557</v>
      </c>
      <c r="E71" s="91">
        <f t="shared" si="5"/>
        <v>119140.13094464666</v>
      </c>
      <c r="F71" s="91">
        <f t="shared" si="6"/>
        <v>149778.56662479922</v>
      </c>
      <c r="G71" s="91">
        <f t="shared" si="3"/>
        <v>2944703.4370706091</v>
      </c>
    </row>
    <row r="72" spans="1:10" x14ac:dyDescent="0.2">
      <c r="A72" s="90"/>
      <c r="B72" s="90" t="s">
        <v>114</v>
      </c>
      <c r="C72" s="91">
        <f t="shared" si="4"/>
        <v>2944703.4370706091</v>
      </c>
      <c r="D72" s="91">
        <f t="shared" si="7"/>
        <v>29447.034370706093</v>
      </c>
      <c r="E72" s="91">
        <f t="shared" si="5"/>
        <v>120331.53225409312</v>
      </c>
      <c r="F72" s="91">
        <f t="shared" si="6"/>
        <v>149778.56662479922</v>
      </c>
      <c r="G72" s="91">
        <f t="shared" si="3"/>
        <v>2824371.9048165157</v>
      </c>
    </row>
    <row r="73" spans="1:10" x14ac:dyDescent="0.2">
      <c r="A73" s="90"/>
      <c r="B73" s="90" t="s">
        <v>115</v>
      </c>
      <c r="C73" s="91">
        <f t="shared" si="4"/>
        <v>2824371.9048165157</v>
      </c>
      <c r="D73" s="91">
        <f t="shared" si="7"/>
        <v>28243.71904816516</v>
      </c>
      <c r="E73" s="91">
        <f t="shared" si="5"/>
        <v>121534.84757663406</v>
      </c>
      <c r="F73" s="91">
        <f t="shared" si="6"/>
        <v>149778.56662479922</v>
      </c>
      <c r="G73" s="91">
        <f t="shared" si="3"/>
        <v>2702837.0572398817</v>
      </c>
    </row>
    <row r="74" spans="1:10" x14ac:dyDescent="0.2">
      <c r="A74" s="90"/>
      <c r="B74" s="90" t="s">
        <v>116</v>
      </c>
      <c r="C74" s="91">
        <f t="shared" si="4"/>
        <v>2702837.0572398817</v>
      </c>
      <c r="D74" s="91">
        <f t="shared" ref="D74:D93" si="8">C74*$D$5/12</f>
        <v>27028.370572398813</v>
      </c>
      <c r="E74" s="91">
        <f t="shared" si="5"/>
        <v>122750.19605240041</v>
      </c>
      <c r="F74" s="91">
        <f t="shared" si="6"/>
        <v>149778.56662479922</v>
      </c>
      <c r="G74" s="91">
        <f t="shared" si="3"/>
        <v>2580086.8611874813</v>
      </c>
    </row>
    <row r="75" spans="1:10" x14ac:dyDescent="0.2">
      <c r="A75" s="90"/>
      <c r="B75" s="90" t="s">
        <v>117</v>
      </c>
      <c r="C75" s="91">
        <f t="shared" si="4"/>
        <v>2580086.8611874813</v>
      </c>
      <c r="D75" s="91">
        <f t="shared" si="8"/>
        <v>25800.868611874812</v>
      </c>
      <c r="E75" s="91">
        <f t="shared" si="5"/>
        <v>123977.6980129244</v>
      </c>
      <c r="F75" s="91">
        <f t="shared" ref="F75:F93" si="9">$D$8</f>
        <v>149778.56662479922</v>
      </c>
      <c r="G75" s="91">
        <f t="shared" ref="G75:G93" si="10">C75-E75</f>
        <v>2456109.163174557</v>
      </c>
    </row>
    <row r="76" spans="1:10" x14ac:dyDescent="0.2">
      <c r="A76" s="90"/>
      <c r="B76" s="90" t="s">
        <v>118</v>
      </c>
      <c r="C76" s="91">
        <f t="shared" ref="C76:C93" si="11">G75</f>
        <v>2456109.163174557</v>
      </c>
      <c r="D76" s="91">
        <f t="shared" si="8"/>
        <v>24561.09163174557</v>
      </c>
      <c r="E76" s="91">
        <f t="shared" si="5"/>
        <v>125217.47499305365</v>
      </c>
      <c r="F76" s="91">
        <f t="shared" si="9"/>
        <v>149778.56662479922</v>
      </c>
      <c r="G76" s="91">
        <f t="shared" si="10"/>
        <v>2330891.6881815032</v>
      </c>
    </row>
    <row r="77" spans="1:10" x14ac:dyDescent="0.2">
      <c r="A77" s="90"/>
      <c r="B77" s="90" t="s">
        <v>119</v>
      </c>
      <c r="C77" s="91">
        <f t="shared" si="11"/>
        <v>2330891.6881815032</v>
      </c>
      <c r="D77" s="91">
        <f t="shared" si="8"/>
        <v>23308.916881815032</v>
      </c>
      <c r="E77" s="91">
        <f t="shared" si="5"/>
        <v>126469.64974298418</v>
      </c>
      <c r="F77" s="91">
        <f t="shared" si="9"/>
        <v>149778.56662479922</v>
      </c>
      <c r="G77" s="91">
        <f t="shared" si="10"/>
        <v>2204422.038438519</v>
      </c>
    </row>
    <row r="78" spans="1:10" x14ac:dyDescent="0.2">
      <c r="A78" s="90"/>
      <c r="B78" s="90" t="s">
        <v>120</v>
      </c>
      <c r="C78" s="91">
        <f t="shared" si="11"/>
        <v>2204422.038438519</v>
      </c>
      <c r="D78" s="91">
        <f t="shared" si="8"/>
        <v>22044.220384385189</v>
      </c>
      <c r="E78" s="91">
        <f t="shared" si="5"/>
        <v>127734.34624041403</v>
      </c>
      <c r="F78" s="91">
        <f t="shared" si="9"/>
        <v>149778.56662479922</v>
      </c>
      <c r="G78" s="91">
        <f t="shared" si="10"/>
        <v>2076687.6921981049</v>
      </c>
    </row>
    <row r="79" spans="1:10" x14ac:dyDescent="0.2">
      <c r="A79" s="90"/>
      <c r="B79" s="90" t="s">
        <v>121</v>
      </c>
      <c r="C79" s="91">
        <f t="shared" si="11"/>
        <v>2076687.6921981049</v>
      </c>
      <c r="D79" s="91">
        <f t="shared" si="8"/>
        <v>20766.876921981049</v>
      </c>
      <c r="E79" s="91">
        <f t="shared" si="5"/>
        <v>129011.68970281817</v>
      </c>
      <c r="F79" s="91">
        <f t="shared" si="9"/>
        <v>149778.56662479922</v>
      </c>
      <c r="G79" s="91">
        <f t="shared" si="10"/>
        <v>1947676.0024952868</v>
      </c>
    </row>
    <row r="80" spans="1:10" x14ac:dyDescent="0.2">
      <c r="A80" s="90"/>
      <c r="B80" s="90" t="s">
        <v>122</v>
      </c>
      <c r="C80" s="91">
        <f t="shared" si="11"/>
        <v>1947676.0024952868</v>
      </c>
      <c r="D80" s="91">
        <f t="shared" si="8"/>
        <v>19476.760024952866</v>
      </c>
      <c r="E80" s="91">
        <f t="shared" si="5"/>
        <v>130301.80659984636</v>
      </c>
      <c r="F80" s="91">
        <f t="shared" si="9"/>
        <v>149778.56662479922</v>
      </c>
      <c r="G80" s="91">
        <f t="shared" si="10"/>
        <v>1817374.1958954404</v>
      </c>
      <c r="H80" t="s">
        <v>719</v>
      </c>
      <c r="I80" t="s">
        <v>22</v>
      </c>
      <c r="J80" t="s">
        <v>720</v>
      </c>
    </row>
    <row r="81" spans="1:10" x14ac:dyDescent="0.2">
      <c r="A81" s="90"/>
      <c r="B81" s="90" t="s">
        <v>123</v>
      </c>
      <c r="C81" s="91">
        <f t="shared" si="11"/>
        <v>1817374.1958954404</v>
      </c>
      <c r="D81" s="91">
        <f t="shared" si="8"/>
        <v>18173.741958954404</v>
      </c>
      <c r="E81" s="91">
        <f t="shared" ref="E81:E93" si="12">F81-D81</f>
        <v>131604.82466584482</v>
      </c>
      <c r="F81" s="91">
        <f t="shared" si="9"/>
        <v>149778.56662479922</v>
      </c>
      <c r="G81" s="91">
        <f t="shared" si="10"/>
        <v>1685769.3712295955</v>
      </c>
      <c r="H81" s="62">
        <f>SUM(E70:E81)</f>
        <v>1496034.7224734291</v>
      </c>
      <c r="I81" s="364">
        <f>SUM(F70:F81)</f>
        <v>1797342.7994975911</v>
      </c>
      <c r="J81" s="62">
        <f>SUM(D70:D81)</f>
        <v>301308.07702416187</v>
      </c>
    </row>
    <row r="82" spans="1:10" x14ac:dyDescent="0.2">
      <c r="A82" s="90" t="s">
        <v>281</v>
      </c>
      <c r="B82" s="90" t="s">
        <v>217</v>
      </c>
      <c r="C82" s="91">
        <f t="shared" si="11"/>
        <v>1685769.3712295955</v>
      </c>
      <c r="D82" s="91">
        <f t="shared" si="8"/>
        <v>16857.693712295953</v>
      </c>
      <c r="E82" s="91">
        <f t="shared" si="12"/>
        <v>132920.87291250326</v>
      </c>
      <c r="F82" s="91">
        <f t="shared" si="9"/>
        <v>149778.56662479922</v>
      </c>
      <c r="G82" s="91">
        <f t="shared" si="10"/>
        <v>1552848.4983170922</v>
      </c>
    </row>
    <row r="83" spans="1:10" x14ac:dyDescent="0.2">
      <c r="A83" s="90"/>
      <c r="B83" s="90" t="s">
        <v>218</v>
      </c>
      <c r="C83" s="91">
        <f t="shared" si="11"/>
        <v>1552848.4983170922</v>
      </c>
      <c r="D83" s="91">
        <f t="shared" si="8"/>
        <v>15528.484983170922</v>
      </c>
      <c r="E83" s="91">
        <f t="shared" si="12"/>
        <v>134250.08164162829</v>
      </c>
      <c r="F83" s="91">
        <f t="shared" si="9"/>
        <v>149778.56662479922</v>
      </c>
      <c r="G83" s="91">
        <f t="shared" si="10"/>
        <v>1418598.4166754638</v>
      </c>
    </row>
    <row r="84" spans="1:10" x14ac:dyDescent="0.2">
      <c r="A84" s="90"/>
      <c r="B84" s="90" t="s">
        <v>219</v>
      </c>
      <c r="C84" s="91">
        <f t="shared" si="11"/>
        <v>1418598.4166754638</v>
      </c>
      <c r="D84" s="91">
        <f t="shared" si="8"/>
        <v>14185.984166754637</v>
      </c>
      <c r="E84" s="91">
        <f t="shared" si="12"/>
        <v>135592.58245804458</v>
      </c>
      <c r="F84" s="91">
        <f t="shared" si="9"/>
        <v>149778.56662479922</v>
      </c>
      <c r="G84" s="91">
        <f t="shared" si="10"/>
        <v>1283005.8342174191</v>
      </c>
    </row>
    <row r="85" spans="1:10" x14ac:dyDescent="0.2">
      <c r="A85" s="90"/>
      <c r="B85" s="90" t="s">
        <v>220</v>
      </c>
      <c r="C85" s="91">
        <f t="shared" si="11"/>
        <v>1283005.8342174191</v>
      </c>
      <c r="D85" s="91">
        <f t="shared" si="8"/>
        <v>12830.05834217419</v>
      </c>
      <c r="E85" s="91">
        <f t="shared" si="12"/>
        <v>136948.50828262503</v>
      </c>
      <c r="F85" s="91">
        <f t="shared" si="9"/>
        <v>149778.56662479922</v>
      </c>
      <c r="G85" s="91">
        <f t="shared" si="10"/>
        <v>1146057.325934794</v>
      </c>
    </row>
    <row r="86" spans="1:10" x14ac:dyDescent="0.2">
      <c r="A86" s="90"/>
      <c r="B86" s="90" t="s">
        <v>221</v>
      </c>
      <c r="C86" s="91">
        <f t="shared" si="11"/>
        <v>1146057.325934794</v>
      </c>
      <c r="D86" s="91">
        <f t="shared" si="8"/>
        <v>11460.573259347941</v>
      </c>
      <c r="E86" s="91">
        <f t="shared" si="12"/>
        <v>138317.99336545129</v>
      </c>
      <c r="F86" s="91">
        <f t="shared" si="9"/>
        <v>149778.56662479922</v>
      </c>
      <c r="G86" s="91">
        <f t="shared" si="10"/>
        <v>1007739.3325693428</v>
      </c>
    </row>
    <row r="87" spans="1:10" x14ac:dyDescent="0.2">
      <c r="A87" s="90"/>
      <c r="B87" s="90" t="s">
        <v>222</v>
      </c>
      <c r="C87" s="91">
        <f t="shared" si="11"/>
        <v>1007739.3325693428</v>
      </c>
      <c r="D87" s="91">
        <f t="shared" si="8"/>
        <v>10077.393325693427</v>
      </c>
      <c r="E87" s="91">
        <f t="shared" si="12"/>
        <v>139701.17329910578</v>
      </c>
      <c r="F87" s="91">
        <f t="shared" si="9"/>
        <v>149778.56662479922</v>
      </c>
      <c r="G87" s="91">
        <f t="shared" si="10"/>
        <v>868038.15927023697</v>
      </c>
    </row>
    <row r="88" spans="1:10" x14ac:dyDescent="0.2">
      <c r="A88" s="90"/>
      <c r="B88" s="90" t="s">
        <v>223</v>
      </c>
      <c r="C88" s="91">
        <f t="shared" si="11"/>
        <v>868038.15927023697</v>
      </c>
      <c r="D88" s="91">
        <f t="shared" si="8"/>
        <v>8680.3815927023697</v>
      </c>
      <c r="E88" s="91">
        <f t="shared" si="12"/>
        <v>141098.18503209684</v>
      </c>
      <c r="F88" s="91">
        <f t="shared" si="9"/>
        <v>149778.56662479922</v>
      </c>
      <c r="G88" s="91">
        <f t="shared" si="10"/>
        <v>726939.97423814016</v>
      </c>
    </row>
    <row r="89" spans="1:10" x14ac:dyDescent="0.2">
      <c r="A89" s="90"/>
      <c r="B89" s="90" t="s">
        <v>224</v>
      </c>
      <c r="C89" s="91">
        <f t="shared" si="11"/>
        <v>726939.97423814016</v>
      </c>
      <c r="D89" s="91">
        <f t="shared" si="8"/>
        <v>7269.3997423814008</v>
      </c>
      <c r="E89" s="91">
        <f t="shared" si="12"/>
        <v>142509.16688241781</v>
      </c>
      <c r="F89" s="91">
        <f t="shared" si="9"/>
        <v>149778.56662479922</v>
      </c>
      <c r="G89" s="91">
        <f t="shared" si="10"/>
        <v>584430.80735572241</v>
      </c>
    </row>
    <row r="90" spans="1:10" x14ac:dyDescent="0.2">
      <c r="A90" s="90"/>
      <c r="B90" s="90" t="s">
        <v>225</v>
      </c>
      <c r="C90" s="91">
        <f t="shared" si="11"/>
        <v>584430.80735572241</v>
      </c>
      <c r="D90" s="91">
        <f t="shared" si="8"/>
        <v>5844.3080735572248</v>
      </c>
      <c r="E90" s="91">
        <f t="shared" si="12"/>
        <v>143934.258551242</v>
      </c>
      <c r="F90" s="91">
        <f t="shared" si="9"/>
        <v>149778.56662479922</v>
      </c>
      <c r="G90" s="91">
        <f t="shared" si="10"/>
        <v>440496.54880448041</v>
      </c>
    </row>
    <row r="91" spans="1:10" x14ac:dyDescent="0.2">
      <c r="A91" s="90"/>
      <c r="B91" s="90" t="s">
        <v>226</v>
      </c>
      <c r="C91" s="91">
        <f t="shared" si="11"/>
        <v>440496.54880448041</v>
      </c>
      <c r="D91" s="91">
        <f t="shared" si="8"/>
        <v>4404.9654880448043</v>
      </c>
      <c r="E91" s="91">
        <f t="shared" si="12"/>
        <v>145373.60113675441</v>
      </c>
      <c r="F91" s="91">
        <f t="shared" si="9"/>
        <v>149778.56662479922</v>
      </c>
      <c r="G91" s="91">
        <f t="shared" si="10"/>
        <v>295122.94766772597</v>
      </c>
    </row>
    <row r="92" spans="1:10" x14ac:dyDescent="0.2">
      <c r="A92" s="90"/>
      <c r="B92" s="90" t="s">
        <v>227</v>
      </c>
      <c r="C92" s="91">
        <f t="shared" si="11"/>
        <v>295122.94766772597</v>
      </c>
      <c r="D92" s="91">
        <f t="shared" si="8"/>
        <v>2951.2294766772593</v>
      </c>
      <c r="E92" s="91">
        <f t="shared" si="12"/>
        <v>146827.33714812197</v>
      </c>
      <c r="F92" s="91">
        <f t="shared" si="9"/>
        <v>149778.56662479922</v>
      </c>
      <c r="G92" s="91">
        <f t="shared" si="10"/>
        <v>148295.610519604</v>
      </c>
      <c r="H92" t="s">
        <v>719</v>
      </c>
      <c r="I92" t="s">
        <v>22</v>
      </c>
      <c r="J92" t="s">
        <v>720</v>
      </c>
    </row>
    <row r="93" spans="1:10" x14ac:dyDescent="0.2">
      <c r="A93" s="90"/>
      <c r="B93" s="90" t="s">
        <v>228</v>
      </c>
      <c r="C93" s="91">
        <f t="shared" si="11"/>
        <v>148295.610519604</v>
      </c>
      <c r="D93" s="91">
        <f t="shared" si="8"/>
        <v>1482.95610519604</v>
      </c>
      <c r="E93" s="91">
        <f t="shared" si="12"/>
        <v>148295.61051960319</v>
      </c>
      <c r="F93" s="91">
        <f t="shared" si="9"/>
        <v>149778.56662479922</v>
      </c>
      <c r="G93" s="91">
        <f t="shared" si="10"/>
        <v>8.149072527885437E-10</v>
      </c>
      <c r="H93" s="62">
        <f>SUM(E82:E93)</f>
        <v>1685769.3712295946</v>
      </c>
      <c r="I93" s="364">
        <f>SUM(F82:F93)</f>
        <v>1797342.7994975911</v>
      </c>
      <c r="J93" s="62">
        <f>SUM(D82:D93)</f>
        <v>111573.42826799616</v>
      </c>
    </row>
    <row r="94" spans="1:10" x14ac:dyDescent="0.2">
      <c r="A94" s="89"/>
      <c r="B94" s="89"/>
      <c r="C94" s="89"/>
      <c r="D94" s="98">
        <f>SUM(D10:D93)</f>
        <v>4042172.3571455446</v>
      </c>
      <c r="E94" s="98">
        <f>SUM(E10:E93)</f>
        <v>7661232.3179999972</v>
      </c>
      <c r="F94" s="89"/>
      <c r="G94" s="89"/>
    </row>
    <row r="95" spans="1:10" ht="39.950000000000003" customHeight="1" x14ac:dyDescent="0.2">
      <c r="A95" s="470" t="s">
        <v>420</v>
      </c>
      <c r="B95" s="470"/>
      <c r="C95" s="470"/>
      <c r="D95" s="470"/>
      <c r="E95" s="470"/>
      <c r="F95" s="470"/>
      <c r="G95" s="470"/>
      <c r="H95" s="470"/>
    </row>
    <row r="96" spans="1:10" x14ac:dyDescent="0.2">
      <c r="A96" t="s">
        <v>538</v>
      </c>
    </row>
    <row r="97" spans="1:2" x14ac:dyDescent="0.2">
      <c r="A97">
        <v>1</v>
      </c>
      <c r="B97" t="s">
        <v>708</v>
      </c>
    </row>
    <row r="98" spans="1:2" x14ac:dyDescent="0.2">
      <c r="A98">
        <v>2</v>
      </c>
      <c r="B98" t="s">
        <v>709</v>
      </c>
    </row>
    <row r="114" spans="2:2" x14ac:dyDescent="0.2">
      <c r="B114" t="s">
        <v>689</v>
      </c>
    </row>
  </sheetData>
  <mergeCells count="2">
    <mergeCell ref="A2:G2"/>
    <mergeCell ref="A95:H95"/>
  </mergeCells>
  <pageMargins left="0.7" right="0.7" top="0.75" bottom="0.75" header="0.3" footer="0.3"/>
  <pageSetup scale="92" orientation="landscape" r:id="rId1"/>
  <rowBreaks count="2" manualBreakCount="2">
    <brk id="37" max="6" man="1"/>
    <brk id="61" max="6"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V63"/>
  <sheetViews>
    <sheetView view="pageBreakPreview" topLeftCell="A34" zoomScale="80" zoomScaleNormal="115" zoomScaleSheetLayoutView="80" workbookViewId="0">
      <selection activeCell="I29" sqref="I29"/>
    </sheetView>
  </sheetViews>
  <sheetFormatPr defaultRowHeight="15" x14ac:dyDescent="0.2"/>
  <cols>
    <col min="2" max="2" width="7.53125" bestFit="1" customWidth="1"/>
    <col min="3" max="3" width="30.53515625" customWidth="1"/>
    <col min="4" max="4" width="16.8125" bestFit="1" customWidth="1"/>
    <col min="5" max="5" width="14.2578125" bestFit="1" customWidth="1"/>
    <col min="6" max="6" width="16.0078125" bestFit="1" customWidth="1"/>
    <col min="7" max="7" width="20.4453125" bestFit="1" customWidth="1"/>
    <col min="8" max="8" width="23.13671875" bestFit="1" customWidth="1"/>
    <col min="9" max="9" width="26.90234375" bestFit="1" customWidth="1"/>
    <col min="10" max="10" width="29.45703125" bestFit="1" customWidth="1"/>
    <col min="11" max="11" width="32.1484375" bestFit="1" customWidth="1"/>
    <col min="14" max="14" width="23.9453125" hidden="1" customWidth="1"/>
    <col min="15" max="15" width="11.8359375" hidden="1" customWidth="1"/>
    <col min="16" max="16" width="9.55078125" hidden="1" customWidth="1"/>
    <col min="17" max="17" width="10.89453125" hidden="1" customWidth="1"/>
    <col min="18" max="18" width="11.296875" hidden="1" customWidth="1"/>
    <col min="19" max="20" width="0" hidden="1" customWidth="1"/>
    <col min="21" max="21" width="23.9453125" hidden="1" customWidth="1"/>
    <col min="22" max="22" width="12.5078125" hidden="1" customWidth="1"/>
    <col min="23" max="23" width="0" hidden="1" customWidth="1"/>
  </cols>
  <sheetData>
    <row r="2" spans="3:22" ht="18" x14ac:dyDescent="0.2">
      <c r="C2" s="451" t="s">
        <v>558</v>
      </c>
      <c r="D2" s="451"/>
      <c r="E2" s="451"/>
      <c r="F2" s="451"/>
      <c r="G2" s="451"/>
      <c r="H2" s="451"/>
      <c r="I2" s="451"/>
      <c r="J2" s="451"/>
      <c r="K2" s="451"/>
      <c r="L2" s="204"/>
    </row>
    <row r="4" spans="3:22" x14ac:dyDescent="0.2">
      <c r="C4" s="77" t="s">
        <v>0</v>
      </c>
      <c r="D4" s="77"/>
      <c r="E4" s="78" t="s">
        <v>2</v>
      </c>
      <c r="F4" s="78" t="s">
        <v>3</v>
      </c>
      <c r="G4" s="78" t="s">
        <v>4</v>
      </c>
      <c r="H4" s="78" t="s">
        <v>5</v>
      </c>
      <c r="I4" s="78" t="s">
        <v>6</v>
      </c>
      <c r="J4" s="78" t="s">
        <v>170</v>
      </c>
      <c r="K4" s="78" t="s">
        <v>169</v>
      </c>
      <c r="L4" s="89"/>
      <c r="M4" s="89"/>
      <c r="N4" s="226"/>
      <c r="O4" s="226"/>
      <c r="P4" s="226"/>
      <c r="Q4" s="226"/>
      <c r="R4" s="226"/>
      <c r="S4" s="226"/>
      <c r="T4" s="226"/>
      <c r="U4" s="226"/>
      <c r="V4" s="226"/>
    </row>
    <row r="5" spans="3:22" x14ac:dyDescent="0.2">
      <c r="C5" s="90" t="s">
        <v>368</v>
      </c>
      <c r="D5" s="90"/>
      <c r="E5" s="90"/>
      <c r="F5" s="90"/>
      <c r="G5" s="90"/>
      <c r="H5" s="90"/>
      <c r="I5" s="90"/>
      <c r="J5" s="90"/>
      <c r="K5" s="90"/>
      <c r="L5" s="89"/>
      <c r="M5" s="89"/>
      <c r="N5" s="481" t="s">
        <v>535</v>
      </c>
      <c r="O5" s="481"/>
      <c r="P5" s="481"/>
      <c r="Q5" s="481"/>
      <c r="R5" s="481"/>
      <c r="S5" s="226"/>
      <c r="T5" s="226"/>
      <c r="U5" s="481" t="s">
        <v>536</v>
      </c>
      <c r="V5" s="481"/>
    </row>
    <row r="6" spans="3:22" x14ac:dyDescent="0.2">
      <c r="C6" s="90" t="s">
        <v>369</v>
      </c>
      <c r="D6" s="184"/>
      <c r="E6" s="90"/>
      <c r="F6" s="91">
        <f t="shared" ref="F6:K9" si="0">E15</f>
        <v>2618763.2460000003</v>
      </c>
      <c r="G6" s="91">
        <f t="shared" si="0"/>
        <v>3093414.0843375004</v>
      </c>
      <c r="H6" s="91">
        <f t="shared" si="0"/>
        <v>3608983.0983937504</v>
      </c>
      <c r="I6" s="91">
        <f t="shared" si="0"/>
        <v>4168375.4786447813</v>
      </c>
      <c r="J6" s="91">
        <f t="shared" si="0"/>
        <v>4774684.6391749326</v>
      </c>
      <c r="K6" s="91">
        <f t="shared" si="0"/>
        <v>5431203.7770614866</v>
      </c>
      <c r="L6" s="89"/>
      <c r="M6" s="89"/>
      <c r="N6" s="480" t="s">
        <v>537</v>
      </c>
      <c r="O6" s="480"/>
      <c r="P6" s="480"/>
      <c r="Q6" s="480"/>
      <c r="R6" s="480"/>
      <c r="S6" s="226"/>
      <c r="T6" s="226"/>
      <c r="U6" s="480" t="s">
        <v>537</v>
      </c>
      <c r="V6" s="480"/>
    </row>
    <row r="7" spans="3:22" x14ac:dyDescent="0.2">
      <c r="C7" s="90" t="s">
        <v>451</v>
      </c>
      <c r="D7" s="184"/>
      <c r="E7" s="90"/>
      <c r="F7" s="91">
        <f t="shared" si="0"/>
        <v>1281236.8098620002</v>
      </c>
      <c r="G7" s="91">
        <f t="shared" si="0"/>
        <v>1681582.6763688752</v>
      </c>
      <c r="H7" s="91">
        <f t="shared" si="0"/>
        <v>2118816.9287067829</v>
      </c>
      <c r="I7" s="91">
        <f t="shared" si="0"/>
        <v>2595510.9138223086</v>
      </c>
      <c r="J7" s="91">
        <f t="shared" si="0"/>
        <v>3114639.9776811334</v>
      </c>
      <c r="K7" s="91">
        <f t="shared" si="0"/>
        <v>3679127.311960096</v>
      </c>
      <c r="L7" s="89"/>
      <c r="M7" s="89"/>
      <c r="N7" s="227" t="s">
        <v>0</v>
      </c>
      <c r="O7" s="227" t="s">
        <v>164</v>
      </c>
      <c r="P7" s="227" t="s">
        <v>165</v>
      </c>
      <c r="Q7" s="227" t="s">
        <v>318</v>
      </c>
      <c r="R7" s="227" t="s">
        <v>319</v>
      </c>
      <c r="S7" s="226"/>
      <c r="T7" s="226"/>
      <c r="U7" s="307" t="s">
        <v>0</v>
      </c>
      <c r="V7" s="307" t="s">
        <v>492</v>
      </c>
    </row>
    <row r="8" spans="3:22" x14ac:dyDescent="0.2">
      <c r="C8" s="90" t="s">
        <v>549</v>
      </c>
      <c r="D8" s="184"/>
      <c r="E8" s="90"/>
      <c r="F8" s="91">
        <f t="shared" si="0"/>
        <v>1748837.0719501667</v>
      </c>
      <c r="G8" s="91">
        <f t="shared" si="0"/>
        <v>2754418.3883215133</v>
      </c>
      <c r="H8" s="91">
        <f t="shared" si="0"/>
        <v>3856185.7436501184</v>
      </c>
      <c r="I8" s="91">
        <f t="shared" si="0"/>
        <v>5061243.7885407815</v>
      </c>
      <c r="J8" s="91">
        <f t="shared" si="0"/>
        <v>6377167.173561384</v>
      </c>
      <c r="K8" s="91">
        <f t="shared" si="0"/>
        <v>7812029.7876126952</v>
      </c>
      <c r="L8" s="89"/>
      <c r="M8" s="89"/>
      <c r="N8" s="228" t="s">
        <v>370</v>
      </c>
      <c r="O8" s="228">
        <f>'13.Facility 2 Grain Processing'!C152</f>
        <v>4800</v>
      </c>
      <c r="P8" s="228">
        <f>'13.Facility 2 Grain Processing'!C153</f>
        <v>6700</v>
      </c>
      <c r="Q8" s="228">
        <f>'13.Facility 2 Grain Processing'!C154</f>
        <v>6600</v>
      </c>
      <c r="R8" s="228">
        <f>'13.Facility 2 Grain Processing'!C155</f>
        <v>6700</v>
      </c>
      <c r="S8" s="226"/>
      <c r="T8" s="226"/>
      <c r="U8" s="228" t="s">
        <v>347</v>
      </c>
      <c r="V8" s="228">
        <f>'17.Facility 6 Horti Processing '!C163</f>
        <v>6000</v>
      </c>
    </row>
    <row r="9" spans="3:22" x14ac:dyDescent="0.2">
      <c r="C9" s="90" t="str">
        <f>C18</f>
        <v xml:space="preserve">Horticulture Processing </v>
      </c>
      <c r="D9" s="90"/>
      <c r="E9" s="90"/>
      <c r="F9" s="91">
        <f>E18</f>
        <v>0</v>
      </c>
      <c r="G9" s="91">
        <f t="shared" si="0"/>
        <v>0</v>
      </c>
      <c r="H9" s="91">
        <f t="shared" si="0"/>
        <v>0</v>
      </c>
      <c r="I9" s="91">
        <f t="shared" si="0"/>
        <v>0</v>
      </c>
      <c r="J9" s="91">
        <f t="shared" si="0"/>
        <v>0</v>
      </c>
      <c r="K9" s="91">
        <f t="shared" si="0"/>
        <v>0</v>
      </c>
      <c r="L9" s="89"/>
      <c r="M9" s="89"/>
      <c r="N9" s="228" t="str">
        <f>'13.Facility 2 Grain Processing'!A156</f>
        <v>Oil (Liters)</v>
      </c>
      <c r="O9" s="228">
        <f>('13.Facility 2 Grain Processing'!B156*'13.Facility 2 Grain Processing'!C156/1000)*100</f>
        <v>187.5</v>
      </c>
      <c r="P9" s="228">
        <f>O9</f>
        <v>187.5</v>
      </c>
      <c r="Q9" s="228">
        <f t="shared" ref="Q9:R9" si="1">P9</f>
        <v>187.5</v>
      </c>
      <c r="R9" s="228">
        <f t="shared" si="1"/>
        <v>187.5</v>
      </c>
      <c r="S9" s="226"/>
      <c r="T9" s="226"/>
      <c r="U9" s="228" t="str">
        <f>'17.Facility 6 Horti Processing '!A164</f>
        <v>Other Consumbales</v>
      </c>
      <c r="V9" s="229">
        <f>'17.Facility 6 Horti Processing '!C164</f>
        <v>2000</v>
      </c>
    </row>
    <row r="10" spans="3:22" x14ac:dyDescent="0.2">
      <c r="C10" s="90"/>
      <c r="D10" s="90"/>
      <c r="E10" s="90"/>
      <c r="F10" s="91"/>
      <c r="G10" s="91"/>
      <c r="H10" s="91"/>
      <c r="I10" s="91"/>
      <c r="J10" s="91"/>
      <c r="K10" s="91"/>
      <c r="L10" s="89"/>
      <c r="M10" s="89"/>
      <c r="N10" s="228" t="str">
        <f>'13.Facility 2 Grain Processing'!A157</f>
        <v xml:space="preserve">Daily Labour </v>
      </c>
      <c r="O10" s="230">
        <f>('13.Facility 2 Grain Processing'!B157*'13.Facility 2 Grain Processing'!C157)/('13.Facility 2 Grain Processing'!B5*'13.Facility 2 Grain Processing'!B6)</f>
        <v>162.5</v>
      </c>
      <c r="P10" s="230">
        <f>O10</f>
        <v>162.5</v>
      </c>
      <c r="Q10" s="230">
        <f t="shared" ref="Q10:R10" si="2">P10</f>
        <v>162.5</v>
      </c>
      <c r="R10" s="230">
        <f t="shared" si="2"/>
        <v>162.5</v>
      </c>
      <c r="S10" s="226"/>
      <c r="T10" s="226"/>
      <c r="U10" s="228" t="str">
        <f>'17.Facility 6 Horti Processing '!A165</f>
        <v xml:space="preserve">Daily Labour </v>
      </c>
      <c r="V10" s="229">
        <f>'17.Facility 6 Horti Processing '!B165*'17.Facility 6 Horti Processing '!C165/('17.Facility 6 Horti Processing '!B5*'17.Facility 6 Horti Processing '!B6)</f>
        <v>1500</v>
      </c>
    </row>
    <row r="11" spans="3:22" x14ac:dyDescent="0.2">
      <c r="C11" s="90"/>
      <c r="D11" s="90"/>
      <c r="E11" s="90"/>
      <c r="F11" s="91"/>
      <c r="G11" s="91"/>
      <c r="H11" s="91"/>
      <c r="I11" s="91"/>
      <c r="J11" s="91"/>
      <c r="K11" s="91"/>
      <c r="L11" s="89"/>
      <c r="M11" s="89"/>
      <c r="N11" s="228" t="str">
        <f>'13.Facility 2 Grain Processing'!A158</f>
        <v>Electricity Charges</v>
      </c>
      <c r="O11" s="230">
        <f>('13.Facility 2 Grain Processing'!B158*'13.Facility 2 Grain Processing'!C158)/('13.Facility 2 Grain Processing'!B5*'13.Facility 2 Grain Processing'!B6)</f>
        <v>46.003333333333337</v>
      </c>
      <c r="P11" s="230">
        <f>O11</f>
        <v>46.003333333333337</v>
      </c>
      <c r="Q11" s="230">
        <f t="shared" ref="Q11" si="3">P11</f>
        <v>46.003333333333337</v>
      </c>
      <c r="R11" s="230">
        <f t="shared" ref="R11" si="4">Q11</f>
        <v>46.003333333333337</v>
      </c>
      <c r="S11" s="226"/>
      <c r="T11" s="226"/>
      <c r="U11" s="228" t="str">
        <f>'17.Facility 6 Horti Processing '!A166</f>
        <v>Electricity Charges</v>
      </c>
      <c r="V11" s="228">
        <f>'17.Facility 6 Horti Processing '!B166*'17.Facility 6 Horti Processing '!C166/('17.Facility 6 Horti Processing '!B5*'17.Facility 6 Horti Processing '!B6)</f>
        <v>0</v>
      </c>
    </row>
    <row r="12" spans="3:22" x14ac:dyDescent="0.2">
      <c r="C12" s="90" t="s">
        <v>1</v>
      </c>
      <c r="D12" s="90"/>
      <c r="E12" s="91"/>
      <c r="F12" s="91">
        <f t="shared" ref="F12:K12" si="5">SUM(F6:F11)</f>
        <v>5648837.1278121667</v>
      </c>
      <c r="G12" s="91">
        <f t="shared" si="5"/>
        <v>7529415.1490278887</v>
      </c>
      <c r="H12" s="91">
        <f t="shared" si="5"/>
        <v>9583985.7707506511</v>
      </c>
      <c r="I12" s="91">
        <f t="shared" si="5"/>
        <v>11825130.181007871</v>
      </c>
      <c r="J12" s="91">
        <f t="shared" si="5"/>
        <v>14266491.790417451</v>
      </c>
      <c r="K12" s="91">
        <f t="shared" si="5"/>
        <v>16922360.876634277</v>
      </c>
      <c r="L12" s="89"/>
      <c r="M12" s="89"/>
      <c r="N12" s="228" t="str">
        <f>'13.Facility 2 Grain Processing'!A159</f>
        <v>Loading/Unloading Charges</v>
      </c>
      <c r="O12" s="228">
        <f>'13.Facility 2 Grain Processing'!C159*2</f>
        <v>120</v>
      </c>
      <c r="P12" s="228">
        <f>O12</f>
        <v>120</v>
      </c>
      <c r="Q12" s="228">
        <f t="shared" ref="Q12:R13" si="6">P12</f>
        <v>120</v>
      </c>
      <c r="R12" s="228">
        <f t="shared" si="6"/>
        <v>120</v>
      </c>
      <c r="S12" s="226"/>
      <c r="T12" s="226"/>
      <c r="U12" s="228" t="str">
        <f>'17.Facility 6 Horti Processing '!A167</f>
        <v>Loading/Unloading Charges</v>
      </c>
      <c r="V12" s="228">
        <f>'17.Facility 6 Horti Processing '!C167</f>
        <v>10</v>
      </c>
    </row>
    <row r="13" spans="3:22" x14ac:dyDescent="0.2">
      <c r="C13" s="90"/>
      <c r="D13" s="90"/>
      <c r="E13" s="90"/>
      <c r="F13" s="91"/>
      <c r="G13" s="91"/>
      <c r="H13" s="91"/>
      <c r="I13" s="91"/>
      <c r="J13" s="91"/>
      <c r="K13" s="91"/>
      <c r="L13" s="89"/>
      <c r="M13" s="89"/>
      <c r="N13" s="228" t="str">
        <f>'13.Facility 2 Grain Processing'!A160</f>
        <v>packaging Exp</v>
      </c>
      <c r="O13" s="228">
        <f>'13.Facility 2 Grain Processing'!C160*2</f>
        <v>150</v>
      </c>
      <c r="P13" s="228">
        <f>O13</f>
        <v>150</v>
      </c>
      <c r="Q13" s="228">
        <f t="shared" si="6"/>
        <v>150</v>
      </c>
      <c r="R13" s="228">
        <f t="shared" si="6"/>
        <v>150</v>
      </c>
      <c r="S13" s="226"/>
      <c r="T13" s="226"/>
      <c r="U13" s="228" t="str">
        <f>'17.Facility 6 Horti Processing '!A168</f>
        <v>packaging Exp</v>
      </c>
      <c r="V13" s="9">
        <f>'17.Facility 6 Horti Processing '!C168*100</f>
        <v>200</v>
      </c>
    </row>
    <row r="14" spans="3:22" x14ac:dyDescent="0.2">
      <c r="C14" s="92" t="s">
        <v>349</v>
      </c>
      <c r="D14" s="90"/>
      <c r="E14" s="90"/>
      <c r="F14" s="91"/>
      <c r="G14" s="91"/>
      <c r="H14" s="91"/>
      <c r="I14" s="91"/>
      <c r="J14" s="91"/>
      <c r="K14" s="91"/>
      <c r="L14" s="89"/>
      <c r="M14" s="89"/>
      <c r="N14" s="228"/>
      <c r="O14" s="9"/>
      <c r="P14" s="9"/>
      <c r="Q14" s="9"/>
      <c r="R14" s="9"/>
      <c r="S14" s="226"/>
      <c r="T14" s="226"/>
      <c r="U14" s="9"/>
      <c r="V14" s="9"/>
    </row>
    <row r="15" spans="3:22" x14ac:dyDescent="0.2">
      <c r="C15" s="90" t="str">
        <f>C6</f>
        <v>Agri Input</v>
      </c>
      <c r="D15" s="389">
        <v>0.01</v>
      </c>
      <c r="E15" s="91">
        <f>SUM('16.Facility 5 Agri Input'!D197:D252)*$D$15</f>
        <v>2618763.2460000003</v>
      </c>
      <c r="F15" s="91">
        <f>SUM('16.Facility 5 Agri Input'!E197:E252)*$D$15</f>
        <v>3093414.0843375004</v>
      </c>
      <c r="G15" s="91">
        <f>SUM('16.Facility 5 Agri Input'!F197:F252)*$D$15</f>
        <v>3608983.0983937504</v>
      </c>
      <c r="H15" s="91">
        <f>SUM('16.Facility 5 Agri Input'!G197:G252)*$D$15</f>
        <v>4168375.4786447813</v>
      </c>
      <c r="I15" s="91">
        <f>SUM('16.Facility 5 Agri Input'!H197:H252)*$D$15</f>
        <v>4774684.6391749326</v>
      </c>
      <c r="J15" s="91">
        <f>SUM('16.Facility 5 Agri Input'!I197:I252)*$D$15</f>
        <v>5431203.7770614866</v>
      </c>
      <c r="K15" s="91">
        <f>SUM('16.Facility 5 Agri Input'!J197:J252)*$D$15</f>
        <v>6141438.1171387592</v>
      </c>
      <c r="L15" s="89"/>
      <c r="M15" s="89"/>
      <c r="N15" s="9"/>
      <c r="O15" s="9"/>
      <c r="P15" s="9"/>
      <c r="Q15" s="9"/>
      <c r="R15" s="9"/>
      <c r="U15" s="9"/>
      <c r="V15" s="9"/>
    </row>
    <row r="16" spans="3:22" x14ac:dyDescent="0.2">
      <c r="C16" s="90" t="str">
        <f>C7</f>
        <v>Trading</v>
      </c>
      <c r="D16" s="389">
        <v>0.02</v>
      </c>
      <c r="E16" s="91">
        <f>SUM('12.Facility 1 - Trading'!D233:D284)*$D$16</f>
        <v>1281236.8098620002</v>
      </c>
      <c r="F16" s="91">
        <f>SUM('12.Facility 1 - Trading'!E233:E284)*$D$16</f>
        <v>1681582.6763688752</v>
      </c>
      <c r="G16" s="91">
        <f>SUM('12.Facility 1 - Trading'!F233:F284)*$D$16</f>
        <v>2118816.9287067829</v>
      </c>
      <c r="H16" s="91">
        <f>SUM('12.Facility 1 - Trading'!G233:G284)*$D$16</f>
        <v>2595510.9138223086</v>
      </c>
      <c r="I16" s="91">
        <f>SUM('12.Facility 1 - Trading'!H233:H284)*$D$16</f>
        <v>3114639.9776811334</v>
      </c>
      <c r="J16" s="91">
        <f>SUM('12.Facility 1 - Trading'!I233:I284)*$D$16</f>
        <v>3679127.311960096</v>
      </c>
      <c r="K16" s="91">
        <f>SUM('12.Facility 1 - Trading'!J233:J284)*$D$16</f>
        <v>3971831.1900139656</v>
      </c>
      <c r="L16" s="89"/>
      <c r="M16" s="89"/>
      <c r="N16" s="227" t="s">
        <v>371</v>
      </c>
      <c r="O16" s="231">
        <f>SUM(O8:O13)</f>
        <v>5466.0033333333331</v>
      </c>
      <c r="P16" s="231">
        <f>SUM(P8:P13)</f>
        <v>7366.0033333333331</v>
      </c>
      <c r="Q16" s="231">
        <f>SUM(Q8:Q13)</f>
        <v>7266.0033333333331</v>
      </c>
      <c r="R16" s="231">
        <f>SUM(R8:R13)</f>
        <v>7366.0033333333331</v>
      </c>
      <c r="U16" s="227" t="s">
        <v>1</v>
      </c>
      <c r="V16" s="231">
        <f>SUM(V8:V15)</f>
        <v>9710</v>
      </c>
    </row>
    <row r="17" spans="1:18" x14ac:dyDescent="0.2">
      <c r="C17" s="90" t="str">
        <f>C8</f>
        <v xml:space="preserve">Grain Processing </v>
      </c>
      <c r="D17" s="389">
        <v>0.05</v>
      </c>
      <c r="E17" s="91">
        <f>SUM('13.Facility 2 Grain Processing'!D152:D160)*$D$17</f>
        <v>1748837.0719501667</v>
      </c>
      <c r="F17" s="91">
        <f>SUM('13.Facility 2 Grain Processing'!E152:E160)*$D$17</f>
        <v>2754418.3883215133</v>
      </c>
      <c r="G17" s="91">
        <f>SUM('13.Facility 2 Grain Processing'!F152:F160)*$D$17</f>
        <v>3856185.7436501184</v>
      </c>
      <c r="H17" s="91">
        <f>SUM('13.Facility 2 Grain Processing'!G152:G160)*$D$17</f>
        <v>5061243.7885407815</v>
      </c>
      <c r="I17" s="91">
        <f>SUM('13.Facility 2 Grain Processing'!H152:H160)*$D$17</f>
        <v>6377167.173561384</v>
      </c>
      <c r="J17" s="91">
        <f>SUM('13.Facility 2 Grain Processing'!I152:I160)*$D$17</f>
        <v>7812029.7876126952</v>
      </c>
      <c r="K17" s="91">
        <f>SUM('13.Facility 2 Grain Processing'!J152:J160)*$D$17</f>
        <v>9144510.7866670433</v>
      </c>
      <c r="L17" s="89"/>
      <c r="M17" s="89"/>
    </row>
    <row r="18" spans="1:18" x14ac:dyDescent="0.2">
      <c r="C18" s="90" t="s">
        <v>522</v>
      </c>
      <c r="D18" s="389">
        <v>0.05</v>
      </c>
      <c r="E18" s="91">
        <f>SUM('17.Facility 6 Horti Processing '!D163:D168)*$D$18</f>
        <v>0</v>
      </c>
      <c r="F18" s="91">
        <f>SUM('17.Facility 6 Horti Processing '!E163:E168)*$D$18</f>
        <v>0</v>
      </c>
      <c r="G18" s="91">
        <f>SUM('17.Facility 6 Horti Processing '!F163:F168)*$D$18</f>
        <v>0</v>
      </c>
      <c r="H18" s="91">
        <f>SUM('17.Facility 6 Horti Processing '!G163:G168)*$D$18</f>
        <v>0</v>
      </c>
      <c r="I18" s="91">
        <f>SUM('17.Facility 6 Horti Processing '!H163:H168)*$D$18</f>
        <v>0</v>
      </c>
      <c r="J18" s="91">
        <f>SUM('17.Facility 6 Horti Processing '!I163:I168)*$D$18</f>
        <v>0</v>
      </c>
      <c r="K18" s="91">
        <f>SUM('17.Facility 6 Horti Processing '!J163:J168)*$D$18</f>
        <v>0</v>
      </c>
      <c r="L18" s="89"/>
      <c r="M18" s="89"/>
    </row>
    <row r="19" spans="1:18" x14ac:dyDescent="0.2">
      <c r="C19" s="90"/>
      <c r="D19" s="389"/>
      <c r="E19" s="91"/>
      <c r="F19" s="91"/>
      <c r="G19" s="91"/>
      <c r="H19" s="91"/>
      <c r="I19" s="91"/>
      <c r="J19" s="91"/>
      <c r="K19" s="91"/>
      <c r="L19" s="89"/>
      <c r="M19" s="89"/>
    </row>
    <row r="20" spans="1:18" x14ac:dyDescent="0.2">
      <c r="C20" s="90"/>
      <c r="D20" s="90"/>
      <c r="E20" s="90"/>
      <c r="F20" s="91"/>
      <c r="G20" s="91"/>
      <c r="H20" s="91"/>
      <c r="I20" s="91"/>
      <c r="J20" s="91"/>
      <c r="K20" s="91"/>
      <c r="L20" s="89"/>
      <c r="M20" s="89"/>
    </row>
    <row r="21" spans="1:18" x14ac:dyDescent="0.2">
      <c r="C21" s="90" t="s">
        <v>1</v>
      </c>
      <c r="D21" s="90"/>
      <c r="E21" s="197">
        <f t="shared" ref="E21:K21" si="7">SUM(E15:E20)</f>
        <v>5648837.1278121667</v>
      </c>
      <c r="F21" s="91">
        <f t="shared" si="7"/>
        <v>7529415.1490278887</v>
      </c>
      <c r="G21" s="91">
        <f t="shared" si="7"/>
        <v>9583985.7707506511</v>
      </c>
      <c r="H21" s="91">
        <f t="shared" si="7"/>
        <v>11825130.181007871</v>
      </c>
      <c r="I21" s="91">
        <f t="shared" si="7"/>
        <v>14266491.790417451</v>
      </c>
      <c r="J21" s="91">
        <f t="shared" si="7"/>
        <v>16922360.876634277</v>
      </c>
      <c r="K21" s="91">
        <f t="shared" si="7"/>
        <v>19257780.093819767</v>
      </c>
      <c r="L21" s="89"/>
      <c r="M21" s="89"/>
    </row>
    <row r="22" spans="1:18" x14ac:dyDescent="0.2">
      <c r="C22" s="89"/>
      <c r="D22" s="89"/>
      <c r="E22" s="89"/>
      <c r="F22" s="89"/>
      <c r="G22" s="89"/>
      <c r="H22" s="89">
        <f>'11.F&amp;V Crop Production details'!H83</f>
        <v>0</v>
      </c>
      <c r="I22" s="89"/>
      <c r="J22" s="89"/>
      <c r="K22" s="89"/>
      <c r="L22" s="89"/>
      <c r="M22" s="89"/>
    </row>
    <row r="23" spans="1:18" ht="41.1" customHeight="1" x14ac:dyDescent="0.2">
      <c r="A23" s="459" t="s">
        <v>421</v>
      </c>
      <c r="B23" s="459"/>
      <c r="C23" s="459"/>
      <c r="D23" s="459"/>
      <c r="E23" s="459"/>
      <c r="F23" s="459"/>
      <c r="G23" s="459"/>
      <c r="H23" s="459"/>
      <c r="I23" s="459"/>
      <c r="J23" s="459"/>
      <c r="K23" s="459"/>
      <c r="L23" s="306"/>
      <c r="M23" s="306"/>
      <c r="N23" s="306"/>
      <c r="O23" s="257"/>
      <c r="P23" s="257"/>
      <c r="Q23" s="257"/>
      <c r="R23" s="257"/>
    </row>
    <row r="24" spans="1:18" x14ac:dyDescent="0.2">
      <c r="A24" t="s">
        <v>538</v>
      </c>
    </row>
    <row r="25" spans="1:18" x14ac:dyDescent="0.2">
      <c r="A25">
        <v>1</v>
      </c>
      <c r="B25" t="s">
        <v>539</v>
      </c>
    </row>
    <row r="28" spans="1:18" ht="18" x14ac:dyDescent="0.2">
      <c r="B28" s="451" t="s">
        <v>559</v>
      </c>
      <c r="C28" s="451"/>
      <c r="D28" s="451"/>
      <c r="E28" s="451"/>
      <c r="F28" s="451"/>
      <c r="G28" s="451"/>
      <c r="H28" s="451"/>
      <c r="I28" s="451"/>
      <c r="J28" s="451"/>
      <c r="K28" s="451"/>
    </row>
    <row r="30" spans="1:18" x14ac:dyDescent="0.2">
      <c r="B30" s="473" t="s">
        <v>145</v>
      </c>
      <c r="C30" s="473" t="s">
        <v>0</v>
      </c>
      <c r="D30" s="476" t="s">
        <v>367</v>
      </c>
      <c r="E30" s="478" t="s">
        <v>159</v>
      </c>
      <c r="F30" s="479"/>
      <c r="G30" s="479"/>
      <c r="H30" s="479"/>
      <c r="I30" s="479"/>
      <c r="J30" s="479"/>
      <c r="K30" s="479"/>
    </row>
    <row r="31" spans="1:18" x14ac:dyDescent="0.2">
      <c r="B31" s="473"/>
      <c r="C31" s="473"/>
      <c r="D31" s="477"/>
      <c r="E31" s="208" t="s">
        <v>2</v>
      </c>
      <c r="F31" s="208" t="s">
        <v>3</v>
      </c>
      <c r="G31" s="208" t="s">
        <v>4</v>
      </c>
      <c r="H31" s="208" t="s">
        <v>5</v>
      </c>
      <c r="I31" s="208" t="s">
        <v>6</v>
      </c>
      <c r="J31" s="208" t="s">
        <v>170</v>
      </c>
      <c r="K31" s="208" t="s">
        <v>169</v>
      </c>
    </row>
    <row r="32" spans="1:18" x14ac:dyDescent="0.2">
      <c r="B32" s="211"/>
      <c r="C32" s="212"/>
      <c r="D32" s="212"/>
      <c r="E32" s="213"/>
      <c r="F32" s="213"/>
      <c r="G32" s="213"/>
      <c r="H32" s="213"/>
      <c r="I32" s="213"/>
      <c r="J32" s="213"/>
      <c r="K32" s="213"/>
    </row>
    <row r="33" spans="2:11" x14ac:dyDescent="0.2">
      <c r="B33" s="214" t="s">
        <v>174</v>
      </c>
      <c r="C33" s="215" t="s">
        <v>350</v>
      </c>
      <c r="D33" s="390"/>
      <c r="E33" s="216"/>
      <c r="F33" s="216"/>
      <c r="G33" s="216"/>
      <c r="H33" s="216"/>
      <c r="I33" s="216"/>
      <c r="J33" s="216"/>
      <c r="K33" s="216"/>
    </row>
    <row r="34" spans="2:11" x14ac:dyDescent="0.2">
      <c r="B34" s="246">
        <v>1</v>
      </c>
      <c r="C34" s="217" t="s">
        <v>369</v>
      </c>
      <c r="D34" s="390">
        <v>7</v>
      </c>
      <c r="E34" s="216">
        <f>('16.Facility 5 Agri Input'!D191/365)*$D$34</f>
        <v>5102753.9978589043</v>
      </c>
      <c r="F34" s="216">
        <f>('16.Facility 5 Agri Input'!E191/365)*$D$34</f>
        <v>6081532.1277189823</v>
      </c>
      <c r="G34" s="216">
        <f>('16.Facility 5 Agri Input'!F191/365)*$D$34</f>
        <v>7095906.9152018055</v>
      </c>
      <c r="H34" s="216">
        <f>('16.Facility 5 Agri Input'!G191/365)*$D$34</f>
        <v>8196515.3511136156</v>
      </c>
      <c r="I34" s="216">
        <f>('16.Facility 5 Agri Input'!H191/365)*$D$34</f>
        <v>9389444.8633286003</v>
      </c>
      <c r="J34" s="216">
        <f>('16.Facility 5 Agri Input'!I191/365)*$D$34</f>
        <v>10681176.038387304</v>
      </c>
      <c r="K34" s="216">
        <f>('16.Facility 5 Agri Input'!J191/365)*$D$34</f>
        <v>12078606.718793556</v>
      </c>
    </row>
    <row r="35" spans="2:11" x14ac:dyDescent="0.2">
      <c r="B35" s="246">
        <v>2</v>
      </c>
      <c r="C35" s="217" t="s">
        <v>365</v>
      </c>
      <c r="D35" s="390">
        <v>7</v>
      </c>
      <c r="E35" s="216">
        <f>('15. Facility 4 Custom Hiring'!E39/365)*$D$35</f>
        <v>0</v>
      </c>
      <c r="F35" s="216">
        <f>('15. Facility 4 Custom Hiring'!F39/365)*$D$35</f>
        <v>0</v>
      </c>
      <c r="G35" s="216">
        <f>('15. Facility 4 Custom Hiring'!G39/365)*$D$35</f>
        <v>0</v>
      </c>
      <c r="H35" s="216">
        <f>('15. Facility 4 Custom Hiring'!H39/365)*$D$35</f>
        <v>0</v>
      </c>
      <c r="I35" s="216">
        <f>('15. Facility 4 Custom Hiring'!I39/365)*$D$35</f>
        <v>0</v>
      </c>
      <c r="J35" s="216">
        <f>('15. Facility 4 Custom Hiring'!J39/365)*$D$35</f>
        <v>0</v>
      </c>
      <c r="K35" s="216">
        <f>('15. Facility 4 Custom Hiring'!K39/365)*$D$35</f>
        <v>0</v>
      </c>
    </row>
    <row r="36" spans="2:11" x14ac:dyDescent="0.2">
      <c r="B36" s="246">
        <v>3</v>
      </c>
      <c r="C36" s="217" t="s">
        <v>366</v>
      </c>
      <c r="D36" s="390">
        <v>7</v>
      </c>
      <c r="E36" s="216">
        <f>('12.Facility 1 - Trading'!D229/365)*$D$36</f>
        <v>1249027.6138407125</v>
      </c>
      <c r="F36" s="216">
        <f>('12.Facility 1 - Trading'!E229/365)*$D$36</f>
        <v>1665833.9116807217</v>
      </c>
      <c r="G36" s="216">
        <f>('12.Facility 1 - Trading'!F229/365)*$D$36</f>
        <v>2100341.2000647346</v>
      </c>
      <c r="H36" s="216">
        <f>('12.Facility 1 - Trading'!G229/365)*$D$36</f>
        <v>2574134.6325079482</v>
      </c>
      <c r="I36" s="216">
        <f>('12.Facility 1 - Trading'!H229/365)*$D$36</f>
        <v>3090056.5551953218</v>
      </c>
      <c r="J36" s="216">
        <f>('12.Facility 1 - Trading'!I229/365)*$D$36</f>
        <v>3651135.3335701623</v>
      </c>
      <c r="K36" s="216">
        <f>('12.Facility 1 - Trading'!J229/365)*$D$36</f>
        <v>3953559.8571805647</v>
      </c>
    </row>
    <row r="37" spans="2:11" x14ac:dyDescent="0.2">
      <c r="B37" s="246">
        <v>4</v>
      </c>
      <c r="C37" s="217" t="s">
        <v>140</v>
      </c>
      <c r="D37" s="390">
        <v>7</v>
      </c>
      <c r="E37" s="216">
        <f>('13.Facility 2 Grain Processing'!D148/365)*$D$37</f>
        <v>683708.10967123299</v>
      </c>
      <c r="F37" s="216">
        <f>('13.Facility 2 Grain Processing'!E148/365)*$D$37</f>
        <v>1107720.601193836</v>
      </c>
      <c r="G37" s="216">
        <f>('13.Facility 2 Grain Processing'!F148/365)*$D$37</f>
        <v>1556212.8991521576</v>
      </c>
      <c r="H37" s="216">
        <f>('13.Facility 2 Grain Processing'!G148/365)*$D$37</f>
        <v>2046785.1254033274</v>
      </c>
      <c r="I37" s="216">
        <f>('13.Facility 2 Grain Processing'!H148/365)*$D$37</f>
        <v>2582524.0420317338</v>
      </c>
      <c r="J37" s="216">
        <f>('13.Facility 2 Grain Processing'!I148/365)*$D$37</f>
        <v>3166719.8875094727</v>
      </c>
      <c r="K37" s="216">
        <f>('13.Facility 2 Grain Processing'!J148/365)*$D$37</f>
        <v>3763153.9025002606</v>
      </c>
    </row>
    <row r="38" spans="2:11" x14ac:dyDescent="0.2">
      <c r="B38" s="246">
        <v>5</v>
      </c>
      <c r="C38" s="217" t="s">
        <v>302</v>
      </c>
      <c r="D38" s="390">
        <v>7</v>
      </c>
      <c r="E38" s="216">
        <f>('14. Facility 3 Warehouse'!D24/365)*$D$38</f>
        <v>18606.575342465752</v>
      </c>
      <c r="F38" s="216">
        <f>('14. Facility 3 Warehouse'!E24/365)*$D$38</f>
        <v>20932.397260273974</v>
      </c>
      <c r="G38" s="216">
        <f>('14. Facility 3 Warehouse'!F24/365)*$D$38</f>
        <v>23444.284931506849</v>
      </c>
      <c r="H38" s="216">
        <f>('14. Facility 3 Warehouse'!G24/365)*$D$38</f>
        <v>26155.030376712337</v>
      </c>
      <c r="I38" s="216">
        <f>('14. Facility 3 Warehouse'!H24/365)*$D$38</f>
        <v>0</v>
      </c>
      <c r="J38" s="216">
        <f>('14. Facility 3 Warehouse'!I24/365)*$D$38</f>
        <v>30532.151636815084</v>
      </c>
      <c r="K38" s="216">
        <f>('14. Facility 3 Warehouse'!J24/365)*$D$38</f>
        <v>32058.759218655843</v>
      </c>
    </row>
    <row r="39" spans="2:11" x14ac:dyDescent="0.2">
      <c r="B39" s="246">
        <v>6</v>
      </c>
      <c r="C39" s="217" t="s">
        <v>534</v>
      </c>
      <c r="D39" s="390">
        <v>7</v>
      </c>
      <c r="E39" s="216">
        <f>('17.Facility 6 Horti Processing '!D159/365)*$D$39</f>
        <v>0</v>
      </c>
      <c r="F39" s="216">
        <f>('17.Facility 6 Horti Processing '!E159/365)*$D$39</f>
        <v>0</v>
      </c>
      <c r="G39" s="216">
        <f>('17.Facility 6 Horti Processing '!F159/365)*$D$39</f>
        <v>0</v>
      </c>
      <c r="H39" s="216">
        <f>('17.Facility 6 Horti Processing '!G159/365)*$D$39</f>
        <v>0</v>
      </c>
      <c r="I39" s="216">
        <f>('17.Facility 6 Horti Processing '!H159/365)*$D$39</f>
        <v>0</v>
      </c>
      <c r="J39" s="216">
        <f>('17.Facility 6 Horti Processing '!I159/365)*$D$39</f>
        <v>0</v>
      </c>
      <c r="K39" s="216">
        <f>('17.Facility 6 Horti Processing '!J159/365)*$D$39</f>
        <v>0</v>
      </c>
    </row>
    <row r="40" spans="2:11" x14ac:dyDescent="0.2">
      <c r="B40" s="246"/>
      <c r="C40" s="217"/>
      <c r="D40" s="390">
        <v>7</v>
      </c>
      <c r="E40" s="216"/>
      <c r="F40" s="216"/>
      <c r="G40" s="216"/>
      <c r="H40" s="216"/>
      <c r="I40" s="216"/>
      <c r="J40" s="216"/>
      <c r="K40" s="216"/>
    </row>
    <row r="41" spans="2:11" x14ac:dyDescent="0.2">
      <c r="B41" s="237"/>
      <c r="C41" s="215" t="s">
        <v>172</v>
      </c>
      <c r="D41" s="390">
        <v>7</v>
      </c>
      <c r="E41" s="216">
        <f>SUM(E34:E40)</f>
        <v>7054096.2967133159</v>
      </c>
      <c r="F41" s="216">
        <f t="shared" ref="F41:K41" si="8">SUM(F34:F40)</f>
        <v>8876019.0378538147</v>
      </c>
      <c r="G41" s="216">
        <f t="shared" si="8"/>
        <v>10775905.299350204</v>
      </c>
      <c r="H41" s="216">
        <f t="shared" si="8"/>
        <v>12843590.139401603</v>
      </c>
      <c r="I41" s="216">
        <f t="shared" si="8"/>
        <v>15062025.460555656</v>
      </c>
      <c r="J41" s="216">
        <f t="shared" si="8"/>
        <v>17529563.411103755</v>
      </c>
      <c r="K41" s="216">
        <f t="shared" si="8"/>
        <v>19827379.237693038</v>
      </c>
    </row>
    <row r="42" spans="2:11" x14ac:dyDescent="0.2">
      <c r="B42" s="214" t="s">
        <v>175</v>
      </c>
      <c r="C42" s="215" t="s">
        <v>349</v>
      </c>
      <c r="D42" s="390"/>
      <c r="E42" s="216">
        <f>'5.Closing Stock &amp; W Capital'!E21</f>
        <v>5648837.1278121667</v>
      </c>
      <c r="F42" s="216">
        <f>'5.Closing Stock &amp; W Capital'!F21</f>
        <v>7529415.1490278887</v>
      </c>
      <c r="G42" s="216">
        <f>'5.Closing Stock &amp; W Capital'!G21</f>
        <v>9583985.7707506511</v>
      </c>
      <c r="H42" s="216">
        <f>'5.Closing Stock &amp; W Capital'!H21</f>
        <v>11825130.181007871</v>
      </c>
      <c r="I42" s="216">
        <f>'5.Closing Stock &amp; W Capital'!I21</f>
        <v>14266491.790417451</v>
      </c>
      <c r="J42" s="216">
        <f>'5.Closing Stock &amp; W Capital'!J21</f>
        <v>16922360.876634277</v>
      </c>
      <c r="K42" s="216">
        <f>'5.Closing Stock &amp; W Capital'!K21</f>
        <v>19257780.093819767</v>
      </c>
    </row>
    <row r="43" spans="2:11" x14ac:dyDescent="0.2">
      <c r="B43" s="214"/>
      <c r="C43" s="217"/>
      <c r="D43" s="390"/>
      <c r="E43" s="216"/>
      <c r="F43" s="216"/>
      <c r="G43" s="216"/>
      <c r="H43" s="216"/>
      <c r="I43" s="216"/>
      <c r="J43" s="216"/>
      <c r="K43" s="216"/>
    </row>
    <row r="44" spans="2:11" x14ac:dyDescent="0.2">
      <c r="B44" s="474" t="s">
        <v>1</v>
      </c>
      <c r="C44" s="475"/>
      <c r="D44" s="391"/>
      <c r="E44" s="218">
        <f>SUM(E41:E42)</f>
        <v>12702933.424525483</v>
      </c>
      <c r="F44" s="218">
        <f t="shared" ref="F44:K44" si="9">SUM(F41:F42)</f>
        <v>16405434.186881702</v>
      </c>
      <c r="G44" s="218">
        <f t="shared" si="9"/>
        <v>20359891.070100855</v>
      </c>
      <c r="H44" s="218">
        <f t="shared" si="9"/>
        <v>24668720.320409477</v>
      </c>
      <c r="I44" s="218">
        <f t="shared" si="9"/>
        <v>29328517.250973105</v>
      </c>
      <c r="J44" s="218">
        <f t="shared" si="9"/>
        <v>34451924.287738033</v>
      </c>
      <c r="K44" s="218">
        <f t="shared" si="9"/>
        <v>39085159.331512809</v>
      </c>
    </row>
    <row r="45" spans="2:11" x14ac:dyDescent="0.2">
      <c r="B45" s="214"/>
      <c r="C45" s="215"/>
      <c r="D45" s="390"/>
      <c r="E45" s="216"/>
      <c r="F45" s="216"/>
      <c r="G45" s="216"/>
      <c r="H45" s="216"/>
      <c r="I45" s="216"/>
      <c r="J45" s="216"/>
      <c r="K45" s="216"/>
    </row>
    <row r="46" spans="2:11" ht="34.5" customHeight="1" x14ac:dyDescent="0.2">
      <c r="B46" s="214" t="s">
        <v>176</v>
      </c>
      <c r="C46" s="217" t="s">
        <v>351</v>
      </c>
      <c r="D46" s="390"/>
      <c r="E46" s="216"/>
      <c r="F46" s="216"/>
      <c r="G46" s="216"/>
      <c r="H46" s="216"/>
      <c r="I46" s="216"/>
      <c r="J46" s="216"/>
      <c r="K46" s="216"/>
    </row>
    <row r="47" spans="2:11" x14ac:dyDescent="0.2">
      <c r="B47" s="246">
        <v>1</v>
      </c>
      <c r="C47" s="217" t="str">
        <f t="shared" ref="C47:C52" si="10">C34</f>
        <v>Agri Input</v>
      </c>
      <c r="D47" s="390">
        <v>11</v>
      </c>
      <c r="E47" s="216">
        <f>('16.Facility 5 Agri Input'!D262/365)*$D$47</f>
        <v>7979477.6685106857</v>
      </c>
      <c r="F47" s="216">
        <f>('16.Facility 5 Agri Input'!E262/365)*$D$47</f>
        <v>9504679.6279994808</v>
      </c>
      <c r="G47" s="216">
        <f>('16.Facility 5 Agri Input'!F262/365)*$D$47</f>
        <v>11089943.839800432</v>
      </c>
      <c r="H47" s="216">
        <f>('16.Facility 5 Agri Input'!G262/365)*$D$47</f>
        <v>12809972.773711478</v>
      </c>
      <c r="I47" s="216">
        <f>('16.Facility 5 Agri Input'!H262/365)*$D$47</f>
        <v>14674279.741414137</v>
      </c>
      <c r="J47" s="216">
        <f>('16.Facility 5 Agri Input'!I262/365)*$D$47</f>
        <v>16692992.473952778</v>
      </c>
      <c r="K47" s="216">
        <f>('16.Facility 5 Agri Input'!J262/365)*$D$47</f>
        <v>18876890.780391753</v>
      </c>
    </row>
    <row r="48" spans="2:11" x14ac:dyDescent="0.2">
      <c r="B48" s="246">
        <v>2</v>
      </c>
      <c r="C48" s="217" t="str">
        <f t="shared" si="10"/>
        <v>Custom Hiring</v>
      </c>
      <c r="D48" s="390">
        <v>11</v>
      </c>
      <c r="E48" s="216">
        <f>('15. Facility 4 Custom Hiring'!E49/365)*$D$49</f>
        <v>0</v>
      </c>
      <c r="F48" s="216">
        <f>('15. Facility 4 Custom Hiring'!F49/365)*$D$49</f>
        <v>0</v>
      </c>
      <c r="G48" s="216">
        <f>('15. Facility 4 Custom Hiring'!G49/365)*$D$49</f>
        <v>0</v>
      </c>
      <c r="H48" s="216">
        <f>('15. Facility 4 Custom Hiring'!H49/365)*$D$49</f>
        <v>0</v>
      </c>
      <c r="I48" s="216">
        <f>('15. Facility 4 Custom Hiring'!I49/365)*$D$49</f>
        <v>0</v>
      </c>
      <c r="J48" s="216">
        <f>('15. Facility 4 Custom Hiring'!J49/365)*$D$49</f>
        <v>0</v>
      </c>
      <c r="K48" s="216">
        <f>('15. Facility 4 Custom Hiring'!K49/365)*$D$49</f>
        <v>0</v>
      </c>
    </row>
    <row r="49" spans="1:12" x14ac:dyDescent="0.2">
      <c r="B49" s="246">
        <v>3</v>
      </c>
      <c r="C49" s="217" t="str">
        <f t="shared" si="10"/>
        <v>Cleaning &amp; Grading</v>
      </c>
      <c r="D49" s="390">
        <v>11</v>
      </c>
      <c r="E49" s="216">
        <f>('12.Facility 1 - Trading'!D292/365)*$D$49</f>
        <v>1917346.3957390629</v>
      </c>
      <c r="F49" s="216">
        <f>('12.Facility 1 - Trading'!E292/365)*$D$49</f>
        <v>2555069.7520638411</v>
      </c>
      <c r="G49" s="216">
        <f>('12.Facility 1 - Trading'!F292/365)*$D$49</f>
        <v>3221447.4300639145</v>
      </c>
      <c r="H49" s="216">
        <f>('12.Facility 1 - Trading'!G292/365)*$D$49</f>
        <v>3947988.7034722883</v>
      </c>
      <c r="I49" s="216">
        <f>('12.Facility 1 - Trading'!H292/365)*$D$49</f>
        <v>4739221.308558465</v>
      </c>
      <c r="J49" s="216">
        <f>('12.Facility 1 - Trading'!I292/365)*$D$49</f>
        <v>5599611.8383368468</v>
      </c>
      <c r="K49" s="216">
        <f>('12.Facility 1 - Trading'!J292/365)*$D$49</f>
        <v>6047212.7154482147</v>
      </c>
    </row>
    <row r="50" spans="1:12" x14ac:dyDescent="0.2">
      <c r="B50" s="246">
        <v>4</v>
      </c>
      <c r="C50" s="217" t="str">
        <f t="shared" si="10"/>
        <v>Dal Mill</v>
      </c>
      <c r="D50" s="390">
        <v>12</v>
      </c>
      <c r="E50" s="216">
        <f>('13.Facility 2 Grain Processing'!D169/365)*$D$50</f>
        <v>1112821.0881880494</v>
      </c>
      <c r="F50" s="216">
        <f>('13.Facility 2 Grain Processing'!E169/365)*$D$50</f>
        <v>1810189.2272205674</v>
      </c>
      <c r="G50" s="216">
        <f>('13.Facility 2 Grain Processing'!F169/365)*$D$50</f>
        <v>2544326.7204405619</v>
      </c>
      <c r="H50" s="216">
        <f>('13.Facility 2 Grain Processing'!G169/365)*$D$50</f>
        <v>3347352.4899145057</v>
      </c>
      <c r="I50" s="216">
        <f>('13.Facility 2 Grain Processing'!H169/365)*$D$50</f>
        <v>4224320.0195347425</v>
      </c>
      <c r="J50" s="216">
        <f>('13.Facility 2 Grain Processing'!I169/365)*$D$50</f>
        <v>5180615.9208922144</v>
      </c>
      <c r="K50" s="216">
        <f>('13.Facility 2 Grain Processing'!J169/365)*$D$50</f>
        <v>6078356.2547181118</v>
      </c>
    </row>
    <row r="51" spans="1:12" x14ac:dyDescent="0.2">
      <c r="B51" s="246">
        <v>5</v>
      </c>
      <c r="C51" s="217" t="str">
        <f t="shared" si="10"/>
        <v>Warehouse</v>
      </c>
      <c r="D51" s="390">
        <v>12</v>
      </c>
      <c r="E51" s="216">
        <f>('14. Facility 3 Warehouse'!D35/365)*$D$51</f>
        <v>4858.915068493151</v>
      </c>
      <c r="F51" s="216">
        <f>('14. Facility 3 Warehouse'!E35/365)*$D$51</f>
        <v>5101.8608219178077</v>
      </c>
      <c r="G51" s="216">
        <f>('14. Facility 3 Warehouse'!F35/365)*$D$51</f>
        <v>5356.9538630136976</v>
      </c>
      <c r="H51" s="216">
        <f>('14. Facility 3 Warehouse'!G35/365)*$D$51</f>
        <v>5624.8015561643842</v>
      </c>
      <c r="I51" s="216">
        <f>('14. Facility 3 Warehouse'!H35/365)*$D$51</f>
        <v>5906.0416339726034</v>
      </c>
      <c r="J51" s="216">
        <f>('14. Facility 3 Warehouse'!I35/365)*$D$51</f>
        <v>6201.3437156712334</v>
      </c>
      <c r="K51" s="216">
        <f>('14. Facility 3 Warehouse'!J35/365)*$D$51</f>
        <v>6511.4109014547957</v>
      </c>
    </row>
    <row r="52" spans="1:12" x14ac:dyDescent="0.2">
      <c r="B52" s="246"/>
      <c r="C52" s="217" t="str">
        <f t="shared" si="10"/>
        <v>Processing Unit - Horti Commodity</v>
      </c>
      <c r="D52" s="390">
        <v>0</v>
      </c>
      <c r="E52" s="216">
        <f>('17.Facility 6 Horti Processing '!D177/365)*$D$52</f>
        <v>0</v>
      </c>
      <c r="F52" s="216">
        <f>('17.Facility 6 Horti Processing '!E177/365)*$D$52</f>
        <v>0</v>
      </c>
      <c r="G52" s="216">
        <f>('17.Facility 6 Horti Processing '!F177/365)*$D$52</f>
        <v>0</v>
      </c>
      <c r="H52" s="216">
        <f>('17.Facility 6 Horti Processing '!G177/365)*$D$52</f>
        <v>0</v>
      </c>
      <c r="I52" s="216">
        <f>('17.Facility 6 Horti Processing '!H177/365)*$D$52</f>
        <v>0</v>
      </c>
      <c r="J52" s="216">
        <f>('17.Facility 6 Horti Processing '!I177/365)*$D$52</f>
        <v>0</v>
      </c>
      <c r="K52" s="216">
        <f>('17.Facility 6 Horti Processing '!J177/365)*$D$52</f>
        <v>0</v>
      </c>
    </row>
    <row r="53" spans="1:12" x14ac:dyDescent="0.2">
      <c r="B53" s="246"/>
      <c r="C53" s="217"/>
      <c r="D53" s="390"/>
      <c r="E53" s="216"/>
      <c r="F53" s="216"/>
      <c r="G53" s="216"/>
      <c r="H53" s="216"/>
      <c r="I53" s="216"/>
      <c r="J53" s="216"/>
      <c r="K53" s="216"/>
    </row>
    <row r="54" spans="1:12" x14ac:dyDescent="0.2">
      <c r="B54" s="209"/>
      <c r="C54" s="215" t="s">
        <v>1</v>
      </c>
      <c r="D54" s="390"/>
      <c r="E54" s="218">
        <f>SUM(E47:E53)</f>
        <v>11014504.067506291</v>
      </c>
      <c r="F54" s="218">
        <f t="shared" ref="F54:K54" si="11">SUM(F47:F53)</f>
        <v>13875040.468105806</v>
      </c>
      <c r="G54" s="218">
        <f t="shared" si="11"/>
        <v>16861074.944167923</v>
      </c>
      <c r="H54" s="218">
        <f t="shared" si="11"/>
        <v>20110938.768654436</v>
      </c>
      <c r="I54" s="218">
        <f t="shared" si="11"/>
        <v>23643727.111141317</v>
      </c>
      <c r="J54" s="218">
        <f t="shared" si="11"/>
        <v>27479421.576897513</v>
      </c>
      <c r="K54" s="218">
        <f t="shared" si="11"/>
        <v>31008971.161459532</v>
      </c>
    </row>
    <row r="55" spans="1:12" x14ac:dyDescent="0.2">
      <c r="B55" s="214" t="s">
        <v>177</v>
      </c>
      <c r="C55" s="215" t="s">
        <v>157</v>
      </c>
      <c r="D55" s="390"/>
      <c r="E55" s="218">
        <f>E44-E54</f>
        <v>1688429.3570191916</v>
      </c>
      <c r="F55" s="218">
        <f t="shared" ref="F55:K55" si="12">F44-F54</f>
        <v>2530393.7187758964</v>
      </c>
      <c r="G55" s="218">
        <f t="shared" si="12"/>
        <v>3498816.1259329319</v>
      </c>
      <c r="H55" s="218">
        <f t="shared" si="12"/>
        <v>4557781.5517550409</v>
      </c>
      <c r="I55" s="218">
        <f t="shared" si="12"/>
        <v>5684790.1398317888</v>
      </c>
      <c r="J55" s="218">
        <f t="shared" si="12"/>
        <v>6972502.7108405195</v>
      </c>
      <c r="K55" s="218">
        <f t="shared" si="12"/>
        <v>8076188.1700532772</v>
      </c>
    </row>
    <row r="56" spans="1:12" x14ac:dyDescent="0.2">
      <c r="B56" s="214"/>
      <c r="C56" s="215" t="s">
        <v>134</v>
      </c>
      <c r="D56" s="392">
        <v>0.25</v>
      </c>
      <c r="E56" s="218">
        <f>E55*$D$56</f>
        <v>422107.3392547979</v>
      </c>
      <c r="F56" s="218">
        <f t="shared" ref="F56:K56" si="13">F55*$D$56</f>
        <v>632598.42969397409</v>
      </c>
      <c r="G56" s="218">
        <f t="shared" si="13"/>
        <v>874704.03148323298</v>
      </c>
      <c r="H56" s="218">
        <f t="shared" si="13"/>
        <v>1139445.3879387602</v>
      </c>
      <c r="I56" s="218">
        <f t="shared" si="13"/>
        <v>1421197.5349579472</v>
      </c>
      <c r="J56" s="218">
        <f t="shared" si="13"/>
        <v>1743125.6777101299</v>
      </c>
      <c r="K56" s="218">
        <f t="shared" si="13"/>
        <v>2019047.0425133193</v>
      </c>
    </row>
    <row r="57" spans="1:12" x14ac:dyDescent="0.2">
      <c r="C57" s="423" t="s">
        <v>762</v>
      </c>
      <c r="D57" s="424">
        <v>0.75</v>
      </c>
      <c r="E57" s="62">
        <f>E55-E56</f>
        <v>1266322.0177643937</v>
      </c>
      <c r="F57" s="62">
        <f t="shared" ref="F57:K57" si="14">F55-F56</f>
        <v>1897795.2890819223</v>
      </c>
      <c r="G57" s="62">
        <f t="shared" si="14"/>
        <v>2624112.0944496989</v>
      </c>
      <c r="H57" s="62">
        <f t="shared" si="14"/>
        <v>3418336.1638162807</v>
      </c>
      <c r="I57" s="62">
        <f t="shared" si="14"/>
        <v>4263592.6048738416</v>
      </c>
      <c r="J57" s="62">
        <f t="shared" si="14"/>
        <v>5229377.0331303896</v>
      </c>
      <c r="K57" s="62">
        <f t="shared" si="14"/>
        <v>6057141.1275399579</v>
      </c>
    </row>
    <row r="58" spans="1:12" x14ac:dyDescent="0.2">
      <c r="E58" s="27"/>
    </row>
    <row r="59" spans="1:12" ht="36.950000000000003" customHeight="1" x14ac:dyDescent="0.2">
      <c r="A59" s="471" t="s">
        <v>417</v>
      </c>
      <c r="B59" s="472"/>
      <c r="C59" s="472"/>
      <c r="D59" s="472"/>
      <c r="E59" s="472"/>
      <c r="F59" s="472"/>
      <c r="G59" s="472"/>
      <c r="H59" s="472"/>
      <c r="I59" s="472"/>
      <c r="J59" s="472"/>
      <c r="K59" s="472"/>
      <c r="L59" s="472"/>
    </row>
    <row r="60" spans="1:12" x14ac:dyDescent="0.2">
      <c r="A60" t="s">
        <v>540</v>
      </c>
    </row>
    <row r="61" spans="1:12" x14ac:dyDescent="0.2">
      <c r="A61">
        <v>1</v>
      </c>
      <c r="B61" t="s">
        <v>737</v>
      </c>
    </row>
    <row r="62" spans="1:12" x14ac:dyDescent="0.2">
      <c r="A62">
        <v>2</v>
      </c>
      <c r="B62" t="s">
        <v>763</v>
      </c>
    </row>
    <row r="63" spans="1:12" x14ac:dyDescent="0.2">
      <c r="A63">
        <v>3</v>
      </c>
      <c r="B63" t="s">
        <v>541</v>
      </c>
    </row>
  </sheetData>
  <mergeCells count="13">
    <mergeCell ref="N6:R6"/>
    <mergeCell ref="U5:V5"/>
    <mergeCell ref="U6:V6"/>
    <mergeCell ref="C2:K2"/>
    <mergeCell ref="A23:K23"/>
    <mergeCell ref="N5:R5"/>
    <mergeCell ref="A59:L59"/>
    <mergeCell ref="B28:K28"/>
    <mergeCell ref="B30:B31"/>
    <mergeCell ref="C30:C31"/>
    <mergeCell ref="B44:C44"/>
    <mergeCell ref="D30:D31"/>
    <mergeCell ref="E30:K30"/>
  </mergeCells>
  <pageMargins left="0.7" right="0.7" top="0.75" bottom="0.75" header="0.3" footer="0.3"/>
  <pageSetup paperSize="9" scale="45" orientation="landscape" horizontalDpi="4294967292"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J62"/>
  <sheetViews>
    <sheetView view="pageBreakPreview" topLeftCell="A15" zoomScale="80" zoomScaleNormal="115" zoomScaleSheetLayoutView="80" workbookViewId="0">
      <selection activeCell="I29" sqref="I29"/>
    </sheetView>
  </sheetViews>
  <sheetFormatPr defaultRowHeight="15" x14ac:dyDescent="0.2"/>
  <cols>
    <col min="1" max="1" width="40.625" bestFit="1" customWidth="1"/>
    <col min="2" max="8" width="16.27734375" bestFit="1" customWidth="1"/>
    <col min="9" max="9" width="8.609375" customWidth="1"/>
    <col min="10" max="10" width="13.85546875" bestFit="1" customWidth="1"/>
    <col min="11" max="11" width="9.55078125" bestFit="1" customWidth="1"/>
  </cols>
  <sheetData>
    <row r="2" spans="1:8" ht="18" x14ac:dyDescent="0.2">
      <c r="A2" s="449" t="s">
        <v>560</v>
      </c>
      <c r="B2" s="449"/>
      <c r="C2" s="449"/>
      <c r="D2" s="449"/>
      <c r="E2" s="449"/>
      <c r="F2" s="449"/>
      <c r="G2" s="449"/>
      <c r="H2" s="449"/>
    </row>
    <row r="4" spans="1:8" x14ac:dyDescent="0.2">
      <c r="B4" s="3"/>
      <c r="C4" s="3"/>
      <c r="D4" s="3"/>
      <c r="E4" s="3"/>
      <c r="F4" s="3"/>
    </row>
    <row r="5" spans="1:8" x14ac:dyDescent="0.2">
      <c r="A5" s="143" t="s">
        <v>0</v>
      </c>
      <c r="B5" s="115" t="s">
        <v>2</v>
      </c>
      <c r="C5" s="115" t="s">
        <v>3</v>
      </c>
      <c r="D5" s="115" t="s">
        <v>4</v>
      </c>
      <c r="E5" s="115" t="s">
        <v>5</v>
      </c>
      <c r="F5" s="115" t="s">
        <v>6</v>
      </c>
      <c r="G5" s="115" t="s">
        <v>170</v>
      </c>
      <c r="H5" s="115" t="s">
        <v>169</v>
      </c>
    </row>
    <row r="6" spans="1:8" x14ac:dyDescent="0.2">
      <c r="A6" s="92" t="s">
        <v>126</v>
      </c>
      <c r="B6" s="90"/>
      <c r="C6" s="90"/>
      <c r="D6" s="90"/>
      <c r="E6" s="90"/>
      <c r="F6" s="90"/>
      <c r="G6" s="90"/>
      <c r="H6" s="90"/>
    </row>
    <row r="7" spans="1:8" x14ac:dyDescent="0.2">
      <c r="A7" s="90"/>
      <c r="B7" s="90"/>
      <c r="C7" s="90"/>
      <c r="D7" s="90"/>
      <c r="E7" s="90"/>
      <c r="F7" s="90"/>
      <c r="G7" s="90"/>
      <c r="H7" s="90"/>
    </row>
    <row r="8" spans="1:8" x14ac:dyDescent="0.2">
      <c r="A8" s="90" t="s">
        <v>509</v>
      </c>
      <c r="B8" s="91">
        <f>'12.Facility 1 - Trading'!D229</f>
        <v>65127868.435980007</v>
      </c>
      <c r="C8" s="91">
        <f>'12.Facility 1 - Trading'!E229</f>
        <v>86861339.68049477</v>
      </c>
      <c r="D8" s="91">
        <f>'12.Facility 1 - Trading'!F229</f>
        <v>109517791.1462326</v>
      </c>
      <c r="E8" s="91">
        <f>'12.Facility 1 - Trading'!G229</f>
        <v>134222734.409343</v>
      </c>
      <c r="F8" s="91">
        <f>'12.Facility 1 - Trading'!H229</f>
        <v>161124377.52089894</v>
      </c>
      <c r="G8" s="91">
        <f>'12.Facility 1 - Trading'!I229</f>
        <v>190380628.10758704</v>
      </c>
      <c r="H8" s="91">
        <f>'12.Facility 1 - Trading'!J229</f>
        <v>206149906.83870089</v>
      </c>
    </row>
    <row r="9" spans="1:8" x14ac:dyDescent="0.2">
      <c r="A9" s="90" t="s">
        <v>510</v>
      </c>
      <c r="B9" s="91">
        <f>'13.Facility 2 Grain Processing'!D148</f>
        <v>35650494.290000007</v>
      </c>
      <c r="C9" s="91">
        <f>'13.Facility 2 Grain Processing'!E148</f>
        <v>57759717.062250018</v>
      </c>
      <c r="D9" s="91">
        <f>'13.Facility 2 Grain Processing'!F148</f>
        <v>81145386.884362504</v>
      </c>
      <c r="E9" s="91">
        <f>'13.Facility 2 Grain Processing'!G148</f>
        <v>106725224.39603063</v>
      </c>
      <c r="F9" s="91">
        <f>'13.Facility 2 Grain Processing'!H148</f>
        <v>134660182.19165468</v>
      </c>
      <c r="G9" s="91">
        <f>'13.Facility 2 Grain Processing'!I148</f>
        <v>165121822.70585108</v>
      </c>
      <c r="H9" s="91">
        <f>'13.Facility 2 Grain Processing'!J148</f>
        <v>196221596.34465644</v>
      </c>
    </row>
    <row r="10" spans="1:8" x14ac:dyDescent="0.2">
      <c r="A10" s="90" t="s">
        <v>511</v>
      </c>
      <c r="B10" s="91">
        <f>'14. Facility 3 Warehouse'!D24</f>
        <v>970199.99999999988</v>
      </c>
      <c r="C10" s="91">
        <f>'14. Facility 3 Warehouse'!E24</f>
        <v>1091475</v>
      </c>
      <c r="D10" s="91">
        <f>'14. Facility 3 Warehouse'!F24</f>
        <v>1222452</v>
      </c>
      <c r="E10" s="91">
        <f>'14. Facility 3 Warehouse'!G24</f>
        <v>1363798.0125000004</v>
      </c>
      <c r="F10" s="91">
        <f>'14. Facility 3 Warehouse'!H24</f>
        <v>0</v>
      </c>
      <c r="G10" s="91">
        <f>'14. Facility 3 Warehouse'!I24</f>
        <v>1592033.6210625006</v>
      </c>
      <c r="H10" s="91">
        <f>'14. Facility 3 Warehouse'!J24</f>
        <v>1671635.3021156259</v>
      </c>
    </row>
    <row r="11" spans="1:8" x14ac:dyDescent="0.2">
      <c r="A11" s="90" t="s">
        <v>512</v>
      </c>
      <c r="B11" s="91">
        <f>'15. Facility 4 Custom Hiring'!E39</f>
        <v>0</v>
      </c>
      <c r="C11" s="91">
        <f>'15. Facility 4 Custom Hiring'!F39</f>
        <v>0</v>
      </c>
      <c r="D11" s="91">
        <f>'15. Facility 4 Custom Hiring'!G39</f>
        <v>0</v>
      </c>
      <c r="E11" s="91">
        <f>'15. Facility 4 Custom Hiring'!H39</f>
        <v>0</v>
      </c>
      <c r="F11" s="91">
        <f>'15. Facility 4 Custom Hiring'!I39</f>
        <v>0</v>
      </c>
      <c r="G11" s="91">
        <f>'15. Facility 4 Custom Hiring'!J39</f>
        <v>0</v>
      </c>
      <c r="H11" s="91">
        <f>'15. Facility 4 Custom Hiring'!K39</f>
        <v>0</v>
      </c>
    </row>
    <row r="12" spans="1:8" x14ac:dyDescent="0.2">
      <c r="A12" s="90" t="s">
        <v>508</v>
      </c>
      <c r="B12" s="91">
        <f>'16.Facility 5 Agri Input'!D191</f>
        <v>266072172.7455</v>
      </c>
      <c r="C12" s="91">
        <f>'16.Facility 5 Agri Input'!E191</f>
        <v>317108460.94534695</v>
      </c>
      <c r="D12" s="91">
        <f>'16.Facility 5 Agri Input'!F191</f>
        <v>370000860.57837987</v>
      </c>
      <c r="E12" s="91">
        <f>'16.Facility 5 Agri Input'!G191</f>
        <v>427389729.02235281</v>
      </c>
      <c r="F12" s="91">
        <f>'16.Facility 5 Agri Input'!H191</f>
        <v>489592482.15927708</v>
      </c>
      <c r="G12" s="91">
        <f>'16.Facility 5 Agri Input'!I191</f>
        <v>556947036.28733802</v>
      </c>
      <c r="H12" s="91">
        <f>'16.Facility 5 Agri Input'!J191</f>
        <v>629813064.62280679</v>
      </c>
    </row>
    <row r="13" spans="1:8" x14ac:dyDescent="0.2">
      <c r="A13" s="90" t="s">
        <v>533</v>
      </c>
      <c r="B13" s="91">
        <f>'17.Facility 6 Horti Processing '!D159</f>
        <v>0</v>
      </c>
      <c r="C13" s="91">
        <f>'17.Facility 6 Horti Processing '!E159</f>
        <v>0</v>
      </c>
      <c r="D13" s="91">
        <f>'17.Facility 6 Horti Processing '!F159</f>
        <v>0</v>
      </c>
      <c r="E13" s="91">
        <f>'17.Facility 6 Horti Processing '!G159</f>
        <v>0</v>
      </c>
      <c r="F13" s="91">
        <f>'17.Facility 6 Horti Processing '!H159</f>
        <v>0</v>
      </c>
      <c r="G13" s="91">
        <f>'17.Facility 6 Horti Processing '!I159</f>
        <v>0</v>
      </c>
      <c r="H13" s="91">
        <f>'17.Facility 6 Horti Processing '!J159</f>
        <v>0</v>
      </c>
    </row>
    <row r="14" spans="1:8" x14ac:dyDescent="0.2">
      <c r="A14" s="90"/>
      <c r="B14" s="91"/>
      <c r="C14" s="91"/>
      <c r="D14" s="91"/>
      <c r="E14" s="91"/>
      <c r="F14" s="91"/>
      <c r="G14" s="91"/>
      <c r="H14" s="91"/>
    </row>
    <row r="15" spans="1:8" x14ac:dyDescent="0.2">
      <c r="A15" s="92" t="s">
        <v>143</v>
      </c>
      <c r="B15" s="110">
        <f>SUM(B8:B14)</f>
        <v>367820735.47148001</v>
      </c>
      <c r="C15" s="110">
        <f t="shared" ref="C15:H15" si="0">SUM(C8:C14)</f>
        <v>462820992.68809175</v>
      </c>
      <c r="D15" s="110">
        <f t="shared" si="0"/>
        <v>561886490.60897493</v>
      </c>
      <c r="E15" s="110">
        <f t="shared" si="0"/>
        <v>669701485.84022641</v>
      </c>
      <c r="F15" s="110">
        <f t="shared" si="0"/>
        <v>785377041.8718307</v>
      </c>
      <c r="G15" s="110">
        <f t="shared" si="0"/>
        <v>914041520.72183871</v>
      </c>
      <c r="H15" s="110">
        <f t="shared" si="0"/>
        <v>1033856203.1082797</v>
      </c>
    </row>
    <row r="16" spans="1:8" x14ac:dyDescent="0.2">
      <c r="A16" s="90"/>
      <c r="B16" s="91"/>
      <c r="C16" s="91"/>
      <c r="D16" s="91"/>
      <c r="E16" s="91"/>
      <c r="F16" s="91"/>
      <c r="G16" s="91"/>
      <c r="H16" s="91"/>
    </row>
    <row r="17" spans="1:8" x14ac:dyDescent="0.2">
      <c r="A17" s="92" t="s">
        <v>314</v>
      </c>
      <c r="B17" s="91"/>
      <c r="C17" s="91"/>
      <c r="D17" s="91"/>
      <c r="E17" s="91"/>
      <c r="F17" s="91"/>
      <c r="G17" s="91"/>
      <c r="H17" s="91"/>
    </row>
    <row r="18" spans="1:8" x14ac:dyDescent="0.2">
      <c r="A18" s="90" t="str">
        <f t="shared" ref="A18:A23" si="1">A8</f>
        <v>Faclitiy 1 - Cleaning &amp; Grading</v>
      </c>
      <c r="B18" s="91">
        <f>'12.Facility 1 - Trading'!D292</f>
        <v>63621039.494978003</v>
      </c>
      <c r="C18" s="91">
        <f>'12.Facility 1 - Trading'!E292</f>
        <v>84781859.954845637</v>
      </c>
      <c r="D18" s="91">
        <f>'12.Facility 1 - Trading'!F292</f>
        <v>106893482.90666626</v>
      </c>
      <c r="E18" s="91">
        <f>'12.Facility 1 - Trading'!G292</f>
        <v>131001443.34248956</v>
      </c>
      <c r="F18" s="91">
        <f>'12.Facility 1 - Trading'!H292</f>
        <v>157255979.78398544</v>
      </c>
      <c r="G18" s="91">
        <f>'12.Facility 1 - Trading'!I292</f>
        <v>185805301.90844992</v>
      </c>
      <c r="H18" s="91">
        <f>'12.Facility 1 - Trading'!J292</f>
        <v>200657512.83078167</v>
      </c>
    </row>
    <row r="19" spans="1:8" x14ac:dyDescent="0.2">
      <c r="A19" s="90" t="str">
        <f t="shared" si="1"/>
        <v>Faclitiy 2 - Processing Unit- Dal Mill</v>
      </c>
      <c r="B19" s="91">
        <f>'13.Facility 2 Grain Processing'!D169</f>
        <v>33848308.099053167</v>
      </c>
      <c r="C19" s="91">
        <f>'13.Facility 2 Grain Processing'!E169</f>
        <v>55059922.327958919</v>
      </c>
      <c r="D19" s="91">
        <f>'13.Facility 2 Grain Processing'!F169</f>
        <v>77389937.746733755</v>
      </c>
      <c r="E19" s="91">
        <f>'13.Facility 2 Grain Processing'!G169</f>
        <v>101815304.90156622</v>
      </c>
      <c r="F19" s="91">
        <f>'13.Facility 2 Grain Processing'!H169</f>
        <v>128489733.92751507</v>
      </c>
      <c r="G19" s="91">
        <f>'13.Facility 2 Grain Processing'!I169</f>
        <v>157577067.59380484</v>
      </c>
      <c r="H19" s="91">
        <f>'13.Facility 2 Grain Processing'!J169</f>
        <v>184883336.08100924</v>
      </c>
    </row>
    <row r="20" spans="1:8" x14ac:dyDescent="0.2">
      <c r="A20" s="90" t="str">
        <f t="shared" si="1"/>
        <v>Faclitiy 3 - Warehouse</v>
      </c>
      <c r="B20" s="91">
        <f>'14. Facility 3 Warehouse'!D35</f>
        <v>147792</v>
      </c>
      <c r="C20" s="91">
        <f>'14. Facility 3 Warehouse'!E35</f>
        <v>155181.59999999998</v>
      </c>
      <c r="D20" s="91">
        <f>'14. Facility 3 Warehouse'!F35</f>
        <v>162940.68</v>
      </c>
      <c r="E20" s="91">
        <f>'14. Facility 3 Warehouse'!G35</f>
        <v>171087.71400000001</v>
      </c>
      <c r="F20" s="91">
        <f>'14. Facility 3 Warehouse'!H35</f>
        <v>179642.09970000002</v>
      </c>
      <c r="G20" s="91">
        <f>'14. Facility 3 Warehouse'!I35</f>
        <v>188624.20468500003</v>
      </c>
      <c r="H20" s="91">
        <f>'14. Facility 3 Warehouse'!J35</f>
        <v>198055.41491925006</v>
      </c>
    </row>
    <row r="21" spans="1:8" x14ac:dyDescent="0.2">
      <c r="A21" s="90" t="str">
        <f t="shared" si="1"/>
        <v xml:space="preserve">Faclitiy 4 - Custom Hiring </v>
      </c>
      <c r="B21" s="91">
        <f>'15. Facility 4 Custom Hiring'!E49</f>
        <v>0</v>
      </c>
      <c r="C21" s="91">
        <f>'15. Facility 4 Custom Hiring'!F49</f>
        <v>0</v>
      </c>
      <c r="D21" s="91">
        <f>'15. Facility 4 Custom Hiring'!G49</f>
        <v>0</v>
      </c>
      <c r="E21" s="91">
        <f>'15. Facility 4 Custom Hiring'!H49</f>
        <v>0</v>
      </c>
      <c r="F21" s="91">
        <f>'15. Facility 4 Custom Hiring'!I49</f>
        <v>0</v>
      </c>
      <c r="G21" s="91">
        <f>'15. Facility 4 Custom Hiring'!J49</f>
        <v>0</v>
      </c>
      <c r="H21" s="91">
        <f>'15. Facility 4 Custom Hiring'!K49</f>
        <v>0</v>
      </c>
    </row>
    <row r="22" spans="1:8" x14ac:dyDescent="0.2">
      <c r="A22" s="90" t="str">
        <f t="shared" si="1"/>
        <v>Faclitiy 5 - Agri Input Centre</v>
      </c>
      <c r="B22" s="91">
        <f>'16.Facility 5 Agri Input'!D262</f>
        <v>264773577.18240002</v>
      </c>
      <c r="C22" s="91">
        <f>'16.Facility 5 Agri Input'!E262</f>
        <v>315382551.29271007</v>
      </c>
      <c r="D22" s="91">
        <f>'16.Facility 5 Agri Input'!F262</f>
        <v>367984500.13883251</v>
      </c>
      <c r="E22" s="91">
        <f>'16.Facility 5 Agri Input'!G262</f>
        <v>425058187.49133545</v>
      </c>
      <c r="F22" s="91">
        <f>'16.Facility 5 Agri Input'!H262</f>
        <v>486919282.32874179</v>
      </c>
      <c r="G22" s="91">
        <f>'16.Facility 5 Agri Input'!I262</f>
        <v>553903841.18116033</v>
      </c>
      <c r="H22" s="91">
        <f>'16.Facility 5 Agri Input'!J262</f>
        <v>626369557.71299899</v>
      </c>
    </row>
    <row r="23" spans="1:8" x14ac:dyDescent="0.2">
      <c r="A23" s="90" t="str">
        <f t="shared" si="1"/>
        <v>Facility 6 - Processing Unit - Horti Commodity</v>
      </c>
      <c r="B23" s="91">
        <f>'17.Facility 6 Horti Processing '!D177</f>
        <v>0</v>
      </c>
      <c r="C23" s="91">
        <f>'17.Facility 6 Horti Processing '!E177</f>
        <v>0</v>
      </c>
      <c r="D23" s="91">
        <f>'17.Facility 6 Horti Processing '!F177</f>
        <v>0</v>
      </c>
      <c r="E23" s="91">
        <f>'17.Facility 6 Horti Processing '!G177</f>
        <v>0</v>
      </c>
      <c r="F23" s="91">
        <f>'17.Facility 6 Horti Processing '!H177</f>
        <v>0</v>
      </c>
      <c r="G23" s="91">
        <f>'17.Facility 6 Horti Processing '!I177</f>
        <v>0</v>
      </c>
      <c r="H23" s="91">
        <f>'17.Facility 6 Horti Processing '!J177</f>
        <v>0</v>
      </c>
    </row>
    <row r="24" spans="1:8" x14ac:dyDescent="0.2">
      <c r="A24" s="90"/>
      <c r="B24" s="91"/>
      <c r="C24" s="91"/>
      <c r="D24" s="91"/>
      <c r="E24" s="91"/>
      <c r="F24" s="91"/>
      <c r="G24" s="91"/>
      <c r="H24" s="91"/>
    </row>
    <row r="25" spans="1:8" x14ac:dyDescent="0.2">
      <c r="A25" s="92" t="s">
        <v>325</v>
      </c>
      <c r="B25" s="110">
        <f>SUM(B18:B24)</f>
        <v>362390716.7764312</v>
      </c>
      <c r="C25" s="110">
        <f t="shared" ref="C25:H25" si="2">SUM(C18:C24)</f>
        <v>455379515.17551458</v>
      </c>
      <c r="D25" s="110">
        <f t="shared" si="2"/>
        <v>552430861.47223258</v>
      </c>
      <c r="E25" s="110">
        <f t="shared" si="2"/>
        <v>658046023.44939125</v>
      </c>
      <c r="F25" s="110">
        <f t="shared" si="2"/>
        <v>772844638.13994229</v>
      </c>
      <c r="G25" s="110">
        <f t="shared" si="2"/>
        <v>897474834.88810003</v>
      </c>
      <c r="H25" s="110">
        <f t="shared" si="2"/>
        <v>1012108462.0397091</v>
      </c>
    </row>
    <row r="26" spans="1:8" x14ac:dyDescent="0.2">
      <c r="A26" s="90"/>
      <c r="B26" s="91"/>
      <c r="C26" s="91"/>
      <c r="D26" s="91"/>
      <c r="E26" s="91"/>
      <c r="F26" s="91"/>
      <c r="G26" s="91"/>
      <c r="H26" s="91"/>
    </row>
    <row r="27" spans="1:8" x14ac:dyDescent="0.2">
      <c r="A27" s="92" t="s">
        <v>312</v>
      </c>
      <c r="B27" s="91"/>
      <c r="C27" s="91"/>
      <c r="D27" s="91"/>
      <c r="E27" s="91"/>
      <c r="F27" s="91"/>
      <c r="G27" s="91"/>
      <c r="H27" s="91"/>
    </row>
    <row r="28" spans="1:8" x14ac:dyDescent="0.2">
      <c r="A28" s="90" t="str">
        <f t="shared" ref="A28:A33" si="3">A18</f>
        <v>Faclitiy 1 - Cleaning &amp; Grading</v>
      </c>
      <c r="B28" s="91">
        <f>'12.Facility 1 - Trading'!D301</f>
        <v>372000</v>
      </c>
      <c r="C28" s="91">
        <f>'12.Facility 1 - Trading'!E301</f>
        <v>390600</v>
      </c>
      <c r="D28" s="91">
        <f>'12.Facility 1 - Trading'!F301</f>
        <v>410130</v>
      </c>
      <c r="E28" s="91">
        <f>'12.Facility 1 - Trading'!G301</f>
        <v>430636.50000000006</v>
      </c>
      <c r="F28" s="91">
        <f>'12.Facility 1 - Trading'!H301</f>
        <v>452168.32500000007</v>
      </c>
      <c r="G28" s="91">
        <f>'12.Facility 1 - Trading'!I301</f>
        <v>474776.74125000008</v>
      </c>
      <c r="H28" s="91">
        <f>'12.Facility 1 - Trading'!J301</f>
        <v>498515.57831250015</v>
      </c>
    </row>
    <row r="29" spans="1:8" x14ac:dyDescent="0.2">
      <c r="A29" s="90" t="str">
        <f t="shared" si="3"/>
        <v>Faclitiy 2 - Processing Unit- Dal Mill</v>
      </c>
      <c r="B29" s="91">
        <f>'13.Facility 2 Grain Processing'!D177</f>
        <v>490000</v>
      </c>
      <c r="C29" s="91">
        <f>'13.Facility 2 Grain Processing'!E177</f>
        <v>630000</v>
      </c>
      <c r="D29" s="91">
        <f>'13.Facility 2 Grain Processing'!F177</f>
        <v>661500</v>
      </c>
      <c r="E29" s="91">
        <f>'13.Facility 2 Grain Processing'!G177</f>
        <v>694575</v>
      </c>
      <c r="F29" s="91">
        <f>'13.Facility 2 Grain Processing'!H177</f>
        <v>767582.25</v>
      </c>
      <c r="G29" s="91">
        <f>'13.Facility 2 Grain Processing'!I177</f>
        <v>815461.36250000005</v>
      </c>
      <c r="H29" s="91">
        <f>'13.Facility 2 Grain Processing'!J177</f>
        <v>842434.43062500015</v>
      </c>
    </row>
    <row r="30" spans="1:8" x14ac:dyDescent="0.2">
      <c r="A30" s="90" t="str">
        <f t="shared" si="3"/>
        <v>Faclitiy 3 - Warehouse</v>
      </c>
      <c r="B30" s="91">
        <f>'14. Facility 3 Warehouse'!D44</f>
        <v>501099.80530000001</v>
      </c>
      <c r="C30" s="91">
        <f>'14. Facility 3 Warehouse'!E44</f>
        <v>524342.90529999998</v>
      </c>
      <c r="D30" s="91">
        <f>'14. Facility 3 Warehouse'!F44</f>
        <v>548887.45330000005</v>
      </c>
      <c r="E30" s="91">
        <f>'14. Facility 3 Warehouse'!G44</f>
        <v>574805.48635000014</v>
      </c>
      <c r="F30" s="91">
        <f>'14. Facility 3 Warehouse'!H44</f>
        <v>602172.99158500007</v>
      </c>
      <c r="G30" s="91">
        <f>'14. Facility 3 Warehouse'!I44</f>
        <v>627683.89089925005</v>
      </c>
      <c r="H30" s="91">
        <f>'14. Facility 3 Warehouse'!J44</f>
        <v>654470.33517921274</v>
      </c>
    </row>
    <row r="31" spans="1:8" x14ac:dyDescent="0.2">
      <c r="A31" s="90" t="str">
        <f t="shared" si="3"/>
        <v xml:space="preserve">Faclitiy 4 - Custom Hiring </v>
      </c>
      <c r="B31" s="91">
        <f>'15. Facility 4 Custom Hiring'!E56</f>
        <v>0</v>
      </c>
      <c r="C31" s="91">
        <f>'15. Facility 4 Custom Hiring'!F56</f>
        <v>0</v>
      </c>
      <c r="D31" s="91">
        <f>'15. Facility 4 Custom Hiring'!G56</f>
        <v>0</v>
      </c>
      <c r="E31" s="91">
        <f>'15. Facility 4 Custom Hiring'!H56</f>
        <v>0</v>
      </c>
      <c r="F31" s="91">
        <f>'15. Facility 4 Custom Hiring'!I56</f>
        <v>0</v>
      </c>
      <c r="G31" s="91">
        <f>'15. Facility 4 Custom Hiring'!J56</f>
        <v>0</v>
      </c>
      <c r="H31" s="91">
        <f>'15. Facility 4 Custom Hiring'!K56</f>
        <v>0</v>
      </c>
    </row>
    <row r="32" spans="1:8" x14ac:dyDescent="0.2">
      <c r="A32" s="90" t="str">
        <f t="shared" si="3"/>
        <v>Faclitiy 5 - Agri Input Centre</v>
      </c>
      <c r="B32" s="91">
        <f>'16.Facility 5 Agri Input'!D273</f>
        <v>480000</v>
      </c>
      <c r="C32" s="91">
        <f>'16.Facility 5 Agri Input'!E273</f>
        <v>504000</v>
      </c>
      <c r="D32" s="91">
        <f>'16.Facility 5 Agri Input'!F273</f>
        <v>529200</v>
      </c>
      <c r="E32" s="91">
        <f>'16.Facility 5 Agri Input'!G273</f>
        <v>555660.00000000012</v>
      </c>
      <c r="F32" s="91">
        <f>'16.Facility 5 Agri Input'!H273</f>
        <v>583443.00000000012</v>
      </c>
      <c r="G32" s="91">
        <f>'16.Facility 5 Agri Input'!I273</f>
        <v>612615.15000000014</v>
      </c>
      <c r="H32" s="91">
        <f>'16.Facility 5 Agri Input'!J273</f>
        <v>643245.9075000002</v>
      </c>
    </row>
    <row r="33" spans="1:10" x14ac:dyDescent="0.2">
      <c r="A33" s="90" t="str">
        <f t="shared" si="3"/>
        <v>Facility 6 - Processing Unit - Horti Commodity</v>
      </c>
      <c r="B33" s="91">
        <f>'17.Facility 6 Horti Processing '!D185</f>
        <v>0</v>
      </c>
      <c r="C33" s="91">
        <f>'17.Facility 6 Horti Processing '!E185</f>
        <v>0</v>
      </c>
      <c r="D33" s="91">
        <f>'17.Facility 6 Horti Processing '!F185</f>
        <v>0</v>
      </c>
      <c r="E33" s="91">
        <f>'17.Facility 6 Horti Processing '!G185</f>
        <v>0</v>
      </c>
      <c r="F33" s="91">
        <f>'17.Facility 6 Horti Processing '!H185</f>
        <v>0</v>
      </c>
      <c r="G33" s="91">
        <f>'17.Facility 6 Horti Processing '!I185</f>
        <v>0</v>
      </c>
      <c r="H33" s="91">
        <f>'17.Facility 6 Horti Processing '!J185</f>
        <v>0</v>
      </c>
    </row>
    <row r="34" spans="1:10" x14ac:dyDescent="0.2">
      <c r="A34" s="90"/>
      <c r="B34" s="91"/>
      <c r="C34" s="91"/>
      <c r="D34" s="91"/>
      <c r="E34" s="91"/>
      <c r="F34" s="91"/>
      <c r="G34" s="91"/>
      <c r="H34" s="91"/>
    </row>
    <row r="35" spans="1:10" x14ac:dyDescent="0.2">
      <c r="A35" s="90" t="s">
        <v>9</v>
      </c>
      <c r="B35" s="91">
        <f>'3.Other Exp &amp; Taxes'!E24</f>
        <v>1492196</v>
      </c>
      <c r="C35" s="91">
        <f>'3.Other Exp &amp; Taxes'!F24</f>
        <v>1566805.8</v>
      </c>
      <c r="D35" s="91">
        <f>'3.Other Exp &amp; Taxes'!G24</f>
        <v>1645146.09</v>
      </c>
      <c r="E35" s="91">
        <f>'3.Other Exp &amp; Taxes'!H24</f>
        <v>1727403.3945000002</v>
      </c>
      <c r="F35" s="91">
        <f>'3.Other Exp &amp; Taxes'!I24</f>
        <v>1813773.5642250003</v>
      </c>
      <c r="G35" s="91">
        <f>'3.Other Exp &amp; Taxes'!J24</f>
        <v>1904462.2424362502</v>
      </c>
      <c r="H35" s="91">
        <f>'3.Other Exp &amp; Taxes'!K24</f>
        <v>1999685.3545580627</v>
      </c>
    </row>
    <row r="36" spans="1:10" x14ac:dyDescent="0.2">
      <c r="A36" s="92" t="s">
        <v>329</v>
      </c>
      <c r="B36" s="110">
        <f>SUM(B28:B35)</f>
        <v>3335295.8053000001</v>
      </c>
      <c r="C36" s="110">
        <f t="shared" ref="C36:H36" si="4">SUM(C28:C35)</f>
        <v>3615748.7053</v>
      </c>
      <c r="D36" s="110">
        <f t="shared" si="4"/>
        <v>3794863.5433</v>
      </c>
      <c r="E36" s="110">
        <f t="shared" si="4"/>
        <v>3983080.3808500003</v>
      </c>
      <c r="F36" s="110">
        <f t="shared" si="4"/>
        <v>4219140.13081</v>
      </c>
      <c r="G36" s="110">
        <f t="shared" si="4"/>
        <v>4434999.3870855011</v>
      </c>
      <c r="H36" s="110">
        <f t="shared" si="4"/>
        <v>4638351.6061747763</v>
      </c>
    </row>
    <row r="37" spans="1:10" x14ac:dyDescent="0.2">
      <c r="A37" s="90"/>
      <c r="B37" s="91"/>
      <c r="C37" s="91"/>
      <c r="D37" s="91"/>
      <c r="E37" s="91"/>
      <c r="F37" s="91"/>
      <c r="G37" s="91"/>
      <c r="H37" s="91"/>
    </row>
    <row r="38" spans="1:10" x14ac:dyDescent="0.2">
      <c r="A38" s="92" t="s">
        <v>333</v>
      </c>
      <c r="B38" s="110">
        <f t="shared" ref="B38:H38" si="5">B25+B36</f>
        <v>365726012.5817312</v>
      </c>
      <c r="C38" s="110">
        <f t="shared" si="5"/>
        <v>458995263.88081455</v>
      </c>
      <c r="D38" s="110">
        <f t="shared" si="5"/>
        <v>556225725.01553261</v>
      </c>
      <c r="E38" s="110">
        <f t="shared" si="5"/>
        <v>662029103.8302412</v>
      </c>
      <c r="F38" s="110">
        <f t="shared" si="5"/>
        <v>777063778.27075231</v>
      </c>
      <c r="G38" s="110">
        <f t="shared" si="5"/>
        <v>901909834.27518559</v>
      </c>
      <c r="H38" s="110">
        <f t="shared" si="5"/>
        <v>1016746813.6458839</v>
      </c>
    </row>
    <row r="39" spans="1:10" x14ac:dyDescent="0.2">
      <c r="A39" s="90"/>
      <c r="B39" s="91"/>
      <c r="C39" s="91"/>
      <c r="D39" s="91"/>
      <c r="E39" s="91"/>
      <c r="F39" s="91"/>
      <c r="G39" s="91"/>
      <c r="H39" s="91"/>
    </row>
    <row r="40" spans="1:10" x14ac:dyDescent="0.2">
      <c r="A40" s="92" t="s">
        <v>136</v>
      </c>
      <c r="B40" s="110">
        <f t="shared" ref="B40:H40" si="6">B15-B38</f>
        <v>2094722.8897488117</v>
      </c>
      <c r="C40" s="110">
        <f t="shared" si="6"/>
        <v>3825728.8072772026</v>
      </c>
      <c r="D40" s="110">
        <f t="shared" si="6"/>
        <v>5660765.5934423208</v>
      </c>
      <c r="E40" s="110">
        <f t="shared" si="6"/>
        <v>7672382.0099852085</v>
      </c>
      <c r="F40" s="110">
        <f t="shared" si="6"/>
        <v>8313263.6010783911</v>
      </c>
      <c r="G40" s="110">
        <f t="shared" si="6"/>
        <v>12131686.446653128</v>
      </c>
      <c r="H40" s="110">
        <f t="shared" si="6"/>
        <v>17109389.462395787</v>
      </c>
      <c r="J40" s="62"/>
    </row>
    <row r="41" spans="1:10" x14ac:dyDescent="0.2">
      <c r="A41" s="90"/>
      <c r="B41" s="91"/>
      <c r="C41" s="91"/>
      <c r="D41" s="91"/>
      <c r="E41" s="91"/>
      <c r="F41" s="91"/>
      <c r="G41" s="91"/>
      <c r="H41" s="91"/>
    </row>
    <row r="42" spans="1:10" x14ac:dyDescent="0.2">
      <c r="A42" s="94" t="s">
        <v>17</v>
      </c>
      <c r="B42" s="91">
        <f>'3.Other Exp &amp; Taxes'!C67</f>
        <v>979881.25860200007</v>
      </c>
      <c r="C42" s="91">
        <f>'3.Other Exp &amp; Taxes'!D67</f>
        <v>979881.25860200007</v>
      </c>
      <c r="D42" s="91">
        <f>'3.Other Exp &amp; Taxes'!E67</f>
        <v>979881.25860200007</v>
      </c>
      <c r="E42" s="91">
        <f>'3.Other Exp &amp; Taxes'!F67</f>
        <v>979881.25860200007</v>
      </c>
      <c r="F42" s="91">
        <f>'3.Other Exp &amp; Taxes'!G67</f>
        <v>979881.25860200007</v>
      </c>
      <c r="G42" s="91">
        <f>'3.Other Exp &amp; Taxes'!H67</f>
        <v>979881.25860200007</v>
      </c>
      <c r="H42" s="91">
        <f>'3.Other Exp &amp; Taxes'!I67</f>
        <v>979881.25860200007</v>
      </c>
      <c r="J42" s="62"/>
    </row>
    <row r="43" spans="1:10" x14ac:dyDescent="0.2">
      <c r="A43" s="94" t="s">
        <v>137</v>
      </c>
      <c r="B43" s="91">
        <f>'3.Other Exp &amp; Taxes'!C87</f>
        <v>195170</v>
      </c>
      <c r="C43" s="91">
        <f>'3.Other Exp &amp; Taxes'!D87</f>
        <v>195170</v>
      </c>
      <c r="D43" s="91">
        <f>'3.Other Exp &amp; Taxes'!E87</f>
        <v>195170</v>
      </c>
      <c r="E43" s="91">
        <f>'3.Other Exp &amp; Taxes'!F87</f>
        <v>195170</v>
      </c>
      <c r="F43" s="91">
        <f>'3.Other Exp &amp; Taxes'!G87</f>
        <v>195170</v>
      </c>
      <c r="G43" s="91">
        <f>'3.Other Exp &amp; Taxes'!H87</f>
        <v>0</v>
      </c>
      <c r="H43" s="91">
        <f>'3.Other Exp &amp; Taxes'!I87</f>
        <v>0</v>
      </c>
    </row>
    <row r="44" spans="1:10" x14ac:dyDescent="0.2">
      <c r="A44" s="90"/>
      <c r="B44" s="91"/>
      <c r="C44" s="91"/>
      <c r="D44" s="91"/>
      <c r="E44" s="91"/>
      <c r="F44" s="91"/>
      <c r="G44" s="91"/>
      <c r="H44" s="91"/>
    </row>
    <row r="45" spans="1:10" x14ac:dyDescent="0.2">
      <c r="A45" s="92" t="s">
        <v>138</v>
      </c>
      <c r="B45" s="110">
        <f>B40-B42-B43</f>
        <v>919671.63114681165</v>
      </c>
      <c r="C45" s="110">
        <f t="shared" ref="C45:H45" si="7">C40-C42-C43</f>
        <v>2650677.5486752028</v>
      </c>
      <c r="D45" s="110">
        <f t="shared" si="7"/>
        <v>4485714.334840321</v>
      </c>
      <c r="E45" s="110">
        <f t="shared" si="7"/>
        <v>6497330.7513832087</v>
      </c>
      <c r="F45" s="110">
        <f t="shared" si="7"/>
        <v>7138212.3424763912</v>
      </c>
      <c r="G45" s="110">
        <f t="shared" si="7"/>
        <v>11151805.188051127</v>
      </c>
      <c r="H45" s="110">
        <f t="shared" si="7"/>
        <v>16129508.203793786</v>
      </c>
    </row>
    <row r="46" spans="1:10" x14ac:dyDescent="0.2">
      <c r="A46" s="90"/>
      <c r="B46" s="91"/>
      <c r="C46" s="91"/>
      <c r="D46" s="91"/>
      <c r="E46" s="91"/>
      <c r="F46" s="91"/>
      <c r="G46" s="91"/>
      <c r="H46" s="91"/>
    </row>
    <row r="47" spans="1:10" x14ac:dyDescent="0.2">
      <c r="A47" s="90" t="s">
        <v>24</v>
      </c>
      <c r="B47" s="91">
        <f>'8.Cash Flow '!C26+'8.Cash Flow '!C28</f>
        <v>1071306.520291727</v>
      </c>
      <c r="C47" s="91">
        <f>'8.Cash Flow '!D26+'8.Cash Flow '!D28</f>
        <v>1173058.9427977288</v>
      </c>
      <c r="D47" s="91">
        <f>'8.Cash Flow '!E26+'8.Cash Flow '!E28</f>
        <v>1171584.7415641709</v>
      </c>
      <c r="E47" s="91">
        <f>'8.Cash Flow '!F26+'8.Cash Flow '!F28</f>
        <v>1166050.3128383751</v>
      </c>
      <c r="F47" s="91">
        <f>'8.Cash Flow '!G26+'8.Cash Flow '!G28</f>
        <v>1151862.7608485916</v>
      </c>
      <c r="G47" s="91">
        <f>'8.Cash Flow '!H26+'8.Cash Flow '!H28</f>
        <v>1138008.4023250241</v>
      </c>
      <c r="H47" s="91">
        <f>'8.Cash Flow '!I26+'8.Cash Flow '!I28</f>
        <v>1080716.0086743894</v>
      </c>
    </row>
    <row r="48" spans="1:10" x14ac:dyDescent="0.2">
      <c r="A48" s="90"/>
      <c r="B48" s="91"/>
      <c r="C48" s="91"/>
      <c r="D48" s="91"/>
      <c r="E48" s="91"/>
      <c r="F48" s="91"/>
      <c r="G48" s="91"/>
      <c r="H48" s="91"/>
    </row>
    <row r="49" spans="1:9" x14ac:dyDescent="0.2">
      <c r="A49" s="90" t="s">
        <v>25</v>
      </c>
      <c r="B49" s="91">
        <f>B45-B47</f>
        <v>-151634.88914491539</v>
      </c>
      <c r="C49" s="91">
        <f t="shared" ref="C49:H49" si="8">C45-C47</f>
        <v>1477618.605877474</v>
      </c>
      <c r="D49" s="91">
        <f t="shared" si="8"/>
        <v>3314129.5932761501</v>
      </c>
      <c r="E49" s="91">
        <f t="shared" si="8"/>
        <v>5331280.438544834</v>
      </c>
      <c r="F49" s="91">
        <f t="shared" si="8"/>
        <v>5986349.5816277992</v>
      </c>
      <c r="G49" s="91">
        <f t="shared" si="8"/>
        <v>10013796.785726102</v>
      </c>
      <c r="H49" s="91">
        <f t="shared" si="8"/>
        <v>15048792.195119398</v>
      </c>
    </row>
    <row r="50" spans="1:9" x14ac:dyDescent="0.2">
      <c r="A50" s="90" t="s">
        <v>26</v>
      </c>
      <c r="B50" s="91">
        <f>'3.Other Exp &amp; Taxes'!C104</f>
        <v>0</v>
      </c>
      <c r="C50" s="91">
        <f>'3.Other Exp &amp; Taxes'!D104</f>
        <v>280748</v>
      </c>
      <c r="D50" s="91">
        <f>'3.Other Exp &amp; Taxes'!E104</f>
        <v>629685</v>
      </c>
      <c r="E50" s="91">
        <f>'3.Other Exp &amp; Taxes'!F104</f>
        <v>1144782.7385631867</v>
      </c>
      <c r="F50" s="91">
        <f>'3.Other Exp &amp; Taxes'!G104</f>
        <v>1373051.7049044443</v>
      </c>
      <c r="G50" s="91">
        <f>'3.Other Exp &amp; Taxes'!H104</f>
        <v>2470804.3357331934</v>
      </c>
      <c r="H50" s="91">
        <f>'3.Other Exp &amp; Taxes'!I104</f>
        <v>3824264.7310219719</v>
      </c>
    </row>
    <row r="51" spans="1:9" x14ac:dyDescent="0.2">
      <c r="A51" s="92" t="s">
        <v>28</v>
      </c>
      <c r="B51" s="91">
        <f>B49-B50</f>
        <v>-151634.88914491539</v>
      </c>
      <c r="C51" s="91">
        <f>C49-C50</f>
        <v>1196870.605877474</v>
      </c>
      <c r="D51" s="91">
        <f>D49-D50</f>
        <v>2684444.5932761501</v>
      </c>
      <c r="E51" s="91">
        <f>E49-E50</f>
        <v>4186497.6999816475</v>
      </c>
      <c r="F51" s="91">
        <f>F49-F50</f>
        <v>4613297.8767233547</v>
      </c>
      <c r="G51" s="91">
        <f t="shared" ref="G51:H51" si="9">G49-G50</f>
        <v>7542992.4499929082</v>
      </c>
      <c r="H51" s="91">
        <f t="shared" si="9"/>
        <v>11224527.464097425</v>
      </c>
    </row>
    <row r="52" spans="1:9" x14ac:dyDescent="0.2">
      <c r="A52" s="89"/>
      <c r="B52" s="107"/>
      <c r="C52" s="107"/>
      <c r="D52" s="107"/>
      <c r="E52" s="107"/>
      <c r="F52" s="107"/>
      <c r="G52" s="107"/>
      <c r="H52" s="107"/>
    </row>
    <row r="53" spans="1:9" x14ac:dyDescent="0.2">
      <c r="A53" s="89" t="s">
        <v>513</v>
      </c>
      <c r="B53" s="107">
        <f>B51</f>
        <v>-151634.88914491539</v>
      </c>
      <c r="C53" s="107">
        <f t="shared" ref="C53:H53" si="10">B53+C51</f>
        <v>1045235.7167325586</v>
      </c>
      <c r="D53" s="107">
        <f t="shared" si="10"/>
        <v>3729680.3100087084</v>
      </c>
      <c r="E53" s="107">
        <f t="shared" si="10"/>
        <v>7916178.0099903559</v>
      </c>
      <c r="F53" s="107">
        <f t="shared" si="10"/>
        <v>12529475.88671371</v>
      </c>
      <c r="G53" s="107">
        <f t="shared" si="10"/>
        <v>20072468.336706616</v>
      </c>
      <c r="H53" s="107">
        <f t="shared" si="10"/>
        <v>31296995.800804041</v>
      </c>
    </row>
    <row r="56" spans="1:9" ht="32.450000000000003" customHeight="1" x14ac:dyDescent="0.2">
      <c r="A56" s="482" t="s">
        <v>411</v>
      </c>
      <c r="B56" s="482"/>
      <c r="C56" s="482"/>
      <c r="D56" s="482"/>
      <c r="E56" s="482"/>
      <c r="F56" s="482"/>
      <c r="G56" s="482"/>
      <c r="H56" s="482"/>
      <c r="I56" s="482"/>
    </row>
    <row r="57" spans="1:9" x14ac:dyDescent="0.2">
      <c r="A57" t="s">
        <v>690</v>
      </c>
      <c r="B57" t="s">
        <v>698</v>
      </c>
    </row>
    <row r="58" spans="1:9" x14ac:dyDescent="0.2">
      <c r="A58" s="256"/>
    </row>
    <row r="62" spans="1:9" x14ac:dyDescent="0.2">
      <c r="B62" s="62"/>
      <c r="C62" s="62"/>
      <c r="D62" s="62"/>
      <c r="E62" s="62"/>
      <c r="F62" s="62"/>
      <c r="G62" s="62"/>
      <c r="H62" s="62"/>
    </row>
  </sheetData>
  <mergeCells count="2">
    <mergeCell ref="A2:H2"/>
    <mergeCell ref="A56:I56"/>
  </mergeCells>
  <pageMargins left="0.7" right="0.7" top="0.75" bottom="0.75" header="0.3" footer="0.3"/>
  <pageSetup scale="55"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50"/>
  <sheetViews>
    <sheetView view="pageBreakPreview" zoomScale="80" zoomScaleSheetLayoutView="80" workbookViewId="0">
      <selection activeCell="I29" sqref="I29"/>
    </sheetView>
  </sheetViews>
  <sheetFormatPr defaultRowHeight="15" x14ac:dyDescent="0.2"/>
  <cols>
    <col min="1" max="1" width="37.26171875" style="50" customWidth="1"/>
    <col min="2" max="2" width="18.4296875" style="50" bestFit="1" customWidth="1"/>
    <col min="3" max="3" width="13.1796875" style="50" bestFit="1" customWidth="1"/>
    <col min="4" max="6" width="13.5859375" style="50" bestFit="1" customWidth="1"/>
    <col min="7" max="7" width="17.21875" style="50" customWidth="1"/>
    <col min="8" max="8" width="16.94921875" style="50" customWidth="1"/>
    <col min="9" max="9" width="9.14453125" style="50"/>
    <col min="10" max="10" width="32.8203125" style="50" bestFit="1" customWidth="1"/>
    <col min="11" max="16" width="8.7421875" style="50" bestFit="1"/>
    <col min="17" max="17" width="10.0859375" style="50" bestFit="1" customWidth="1"/>
    <col min="18" max="256" width="9.14453125" style="50"/>
    <col min="257" max="257" width="37.26171875" style="50" customWidth="1"/>
    <col min="258" max="258" width="18.4296875" style="50" bestFit="1" customWidth="1"/>
    <col min="259" max="262" width="12.375" style="50" bestFit="1" customWidth="1"/>
    <col min="263" max="263" width="11.703125" style="50" bestFit="1" customWidth="1"/>
    <col min="264" max="512" width="9.14453125" style="50"/>
    <col min="513" max="513" width="37.26171875" style="50" customWidth="1"/>
    <col min="514" max="514" width="18.4296875" style="50" bestFit="1" customWidth="1"/>
    <col min="515" max="518" width="12.375" style="50" bestFit="1" customWidth="1"/>
    <col min="519" max="519" width="11.703125" style="50" bestFit="1" customWidth="1"/>
    <col min="520" max="768" width="9.14453125" style="50"/>
    <col min="769" max="769" width="37.26171875" style="50" customWidth="1"/>
    <col min="770" max="770" width="18.4296875" style="50" bestFit="1" customWidth="1"/>
    <col min="771" max="774" width="12.375" style="50" bestFit="1" customWidth="1"/>
    <col min="775" max="775" width="11.703125" style="50" bestFit="1" customWidth="1"/>
    <col min="776" max="1024" width="9.14453125" style="50"/>
    <col min="1025" max="1025" width="37.26171875" style="50" customWidth="1"/>
    <col min="1026" max="1026" width="18.4296875" style="50" bestFit="1" customWidth="1"/>
    <col min="1027" max="1030" width="12.375" style="50" bestFit="1" customWidth="1"/>
    <col min="1031" max="1031" width="11.703125" style="50" bestFit="1" customWidth="1"/>
    <col min="1032" max="1280" width="9.14453125" style="50"/>
    <col min="1281" max="1281" width="37.26171875" style="50" customWidth="1"/>
    <col min="1282" max="1282" width="18.4296875" style="50" bestFit="1" customWidth="1"/>
    <col min="1283" max="1286" width="12.375" style="50" bestFit="1" customWidth="1"/>
    <col min="1287" max="1287" width="11.703125" style="50" bestFit="1" customWidth="1"/>
    <col min="1288" max="1536" width="9.14453125" style="50"/>
    <col min="1537" max="1537" width="37.26171875" style="50" customWidth="1"/>
    <col min="1538" max="1538" width="18.4296875" style="50" bestFit="1" customWidth="1"/>
    <col min="1539" max="1542" width="12.375" style="50" bestFit="1" customWidth="1"/>
    <col min="1543" max="1543" width="11.703125" style="50" bestFit="1" customWidth="1"/>
    <col min="1544" max="1792" width="9.14453125" style="50"/>
    <col min="1793" max="1793" width="37.26171875" style="50" customWidth="1"/>
    <col min="1794" max="1794" width="18.4296875" style="50" bestFit="1" customWidth="1"/>
    <col min="1795" max="1798" width="12.375" style="50" bestFit="1" customWidth="1"/>
    <col min="1799" max="1799" width="11.703125" style="50" bestFit="1" customWidth="1"/>
    <col min="1800" max="2048" width="9.14453125" style="50"/>
    <col min="2049" max="2049" width="37.26171875" style="50" customWidth="1"/>
    <col min="2050" max="2050" width="18.4296875" style="50" bestFit="1" customWidth="1"/>
    <col min="2051" max="2054" width="12.375" style="50" bestFit="1" customWidth="1"/>
    <col min="2055" max="2055" width="11.703125" style="50" bestFit="1" customWidth="1"/>
    <col min="2056" max="2304" width="9.14453125" style="50"/>
    <col min="2305" max="2305" width="37.26171875" style="50" customWidth="1"/>
    <col min="2306" max="2306" width="18.4296875" style="50" bestFit="1" customWidth="1"/>
    <col min="2307" max="2310" width="12.375" style="50" bestFit="1" customWidth="1"/>
    <col min="2311" max="2311" width="11.703125" style="50" bestFit="1" customWidth="1"/>
    <col min="2312" max="2560" width="9.14453125" style="50"/>
    <col min="2561" max="2561" width="37.26171875" style="50" customWidth="1"/>
    <col min="2562" max="2562" width="18.4296875" style="50" bestFit="1" customWidth="1"/>
    <col min="2563" max="2566" width="12.375" style="50" bestFit="1" customWidth="1"/>
    <col min="2567" max="2567" width="11.703125" style="50" bestFit="1" customWidth="1"/>
    <col min="2568" max="2816" width="9.14453125" style="50"/>
    <col min="2817" max="2817" width="37.26171875" style="50" customWidth="1"/>
    <col min="2818" max="2818" width="18.4296875" style="50" bestFit="1" customWidth="1"/>
    <col min="2819" max="2822" width="12.375" style="50" bestFit="1" customWidth="1"/>
    <col min="2823" max="2823" width="11.703125" style="50" bestFit="1" customWidth="1"/>
    <col min="2824" max="3072" width="9.14453125" style="50"/>
    <col min="3073" max="3073" width="37.26171875" style="50" customWidth="1"/>
    <col min="3074" max="3074" width="18.4296875" style="50" bestFit="1" customWidth="1"/>
    <col min="3075" max="3078" width="12.375" style="50" bestFit="1" customWidth="1"/>
    <col min="3079" max="3079" width="11.703125" style="50" bestFit="1" customWidth="1"/>
    <col min="3080" max="3328" width="9.14453125" style="50"/>
    <col min="3329" max="3329" width="37.26171875" style="50" customWidth="1"/>
    <col min="3330" max="3330" width="18.4296875" style="50" bestFit="1" customWidth="1"/>
    <col min="3331" max="3334" width="12.375" style="50" bestFit="1" customWidth="1"/>
    <col min="3335" max="3335" width="11.703125" style="50" bestFit="1" customWidth="1"/>
    <col min="3336" max="3584" width="9.14453125" style="50"/>
    <col min="3585" max="3585" width="37.26171875" style="50" customWidth="1"/>
    <col min="3586" max="3586" width="18.4296875" style="50" bestFit="1" customWidth="1"/>
    <col min="3587" max="3590" width="12.375" style="50" bestFit="1" customWidth="1"/>
    <col min="3591" max="3591" width="11.703125" style="50" bestFit="1" customWidth="1"/>
    <col min="3592" max="3840" width="9.14453125" style="50"/>
    <col min="3841" max="3841" width="37.26171875" style="50" customWidth="1"/>
    <col min="3842" max="3842" width="18.4296875" style="50" bestFit="1" customWidth="1"/>
    <col min="3843" max="3846" width="12.375" style="50" bestFit="1" customWidth="1"/>
    <col min="3847" max="3847" width="11.703125" style="50" bestFit="1" customWidth="1"/>
    <col min="3848" max="4096" width="9.14453125" style="50"/>
    <col min="4097" max="4097" width="37.26171875" style="50" customWidth="1"/>
    <col min="4098" max="4098" width="18.4296875" style="50" bestFit="1" customWidth="1"/>
    <col min="4099" max="4102" width="12.375" style="50" bestFit="1" customWidth="1"/>
    <col min="4103" max="4103" width="11.703125" style="50" bestFit="1" customWidth="1"/>
    <col min="4104" max="4352" width="9.14453125" style="50"/>
    <col min="4353" max="4353" width="37.26171875" style="50" customWidth="1"/>
    <col min="4354" max="4354" width="18.4296875" style="50" bestFit="1" customWidth="1"/>
    <col min="4355" max="4358" width="12.375" style="50" bestFit="1" customWidth="1"/>
    <col min="4359" max="4359" width="11.703125" style="50" bestFit="1" customWidth="1"/>
    <col min="4360" max="4608" width="9.14453125" style="50"/>
    <col min="4609" max="4609" width="37.26171875" style="50" customWidth="1"/>
    <col min="4610" max="4610" width="18.4296875" style="50" bestFit="1" customWidth="1"/>
    <col min="4611" max="4614" width="12.375" style="50" bestFit="1" customWidth="1"/>
    <col min="4615" max="4615" width="11.703125" style="50" bestFit="1" customWidth="1"/>
    <col min="4616" max="4864" width="9.14453125" style="50"/>
    <col min="4865" max="4865" width="37.26171875" style="50" customWidth="1"/>
    <col min="4866" max="4866" width="18.4296875" style="50" bestFit="1" customWidth="1"/>
    <col min="4867" max="4870" width="12.375" style="50" bestFit="1" customWidth="1"/>
    <col min="4871" max="4871" width="11.703125" style="50" bestFit="1" customWidth="1"/>
    <col min="4872" max="5120" width="9.14453125" style="50"/>
    <col min="5121" max="5121" width="37.26171875" style="50" customWidth="1"/>
    <col min="5122" max="5122" width="18.4296875" style="50" bestFit="1" customWidth="1"/>
    <col min="5123" max="5126" width="12.375" style="50" bestFit="1" customWidth="1"/>
    <col min="5127" max="5127" width="11.703125" style="50" bestFit="1" customWidth="1"/>
    <col min="5128" max="5376" width="9.14453125" style="50"/>
    <col min="5377" max="5377" width="37.26171875" style="50" customWidth="1"/>
    <col min="5378" max="5378" width="18.4296875" style="50" bestFit="1" customWidth="1"/>
    <col min="5379" max="5382" width="12.375" style="50" bestFit="1" customWidth="1"/>
    <col min="5383" max="5383" width="11.703125" style="50" bestFit="1" customWidth="1"/>
    <col min="5384" max="5632" width="9.14453125" style="50"/>
    <col min="5633" max="5633" width="37.26171875" style="50" customWidth="1"/>
    <col min="5634" max="5634" width="18.4296875" style="50" bestFit="1" customWidth="1"/>
    <col min="5635" max="5638" width="12.375" style="50" bestFit="1" customWidth="1"/>
    <col min="5639" max="5639" width="11.703125" style="50" bestFit="1" customWidth="1"/>
    <col min="5640" max="5888" width="9.14453125" style="50"/>
    <col min="5889" max="5889" width="37.26171875" style="50" customWidth="1"/>
    <col min="5890" max="5890" width="18.4296875" style="50" bestFit="1" customWidth="1"/>
    <col min="5891" max="5894" width="12.375" style="50" bestFit="1" customWidth="1"/>
    <col min="5895" max="5895" width="11.703125" style="50" bestFit="1" customWidth="1"/>
    <col min="5896" max="6144" width="9.14453125" style="50"/>
    <col min="6145" max="6145" width="37.26171875" style="50" customWidth="1"/>
    <col min="6146" max="6146" width="18.4296875" style="50" bestFit="1" customWidth="1"/>
    <col min="6147" max="6150" width="12.375" style="50" bestFit="1" customWidth="1"/>
    <col min="6151" max="6151" width="11.703125" style="50" bestFit="1" customWidth="1"/>
    <col min="6152" max="6400" width="9.14453125" style="50"/>
    <col min="6401" max="6401" width="37.26171875" style="50" customWidth="1"/>
    <col min="6402" max="6402" width="18.4296875" style="50" bestFit="1" customWidth="1"/>
    <col min="6403" max="6406" width="12.375" style="50" bestFit="1" customWidth="1"/>
    <col min="6407" max="6407" width="11.703125" style="50" bestFit="1" customWidth="1"/>
    <col min="6408" max="6656" width="9.14453125" style="50"/>
    <col min="6657" max="6657" width="37.26171875" style="50" customWidth="1"/>
    <col min="6658" max="6658" width="18.4296875" style="50" bestFit="1" customWidth="1"/>
    <col min="6659" max="6662" width="12.375" style="50" bestFit="1" customWidth="1"/>
    <col min="6663" max="6663" width="11.703125" style="50" bestFit="1" customWidth="1"/>
    <col min="6664" max="6912" width="9.14453125" style="50"/>
    <col min="6913" max="6913" width="37.26171875" style="50" customWidth="1"/>
    <col min="6914" max="6914" width="18.4296875" style="50" bestFit="1" customWidth="1"/>
    <col min="6915" max="6918" width="12.375" style="50" bestFit="1" customWidth="1"/>
    <col min="6919" max="6919" width="11.703125" style="50" bestFit="1" customWidth="1"/>
    <col min="6920" max="7168" width="9.14453125" style="50"/>
    <col min="7169" max="7169" width="37.26171875" style="50" customWidth="1"/>
    <col min="7170" max="7170" width="18.4296875" style="50" bestFit="1" customWidth="1"/>
    <col min="7171" max="7174" width="12.375" style="50" bestFit="1" customWidth="1"/>
    <col min="7175" max="7175" width="11.703125" style="50" bestFit="1" customWidth="1"/>
    <col min="7176" max="7424" width="9.14453125" style="50"/>
    <col min="7425" max="7425" width="37.26171875" style="50" customWidth="1"/>
    <col min="7426" max="7426" width="18.4296875" style="50" bestFit="1" customWidth="1"/>
    <col min="7427" max="7430" width="12.375" style="50" bestFit="1" customWidth="1"/>
    <col min="7431" max="7431" width="11.703125" style="50" bestFit="1" customWidth="1"/>
    <col min="7432" max="7680" width="9.14453125" style="50"/>
    <col min="7681" max="7681" width="37.26171875" style="50" customWidth="1"/>
    <col min="7682" max="7682" width="18.4296875" style="50" bestFit="1" customWidth="1"/>
    <col min="7683" max="7686" width="12.375" style="50" bestFit="1" customWidth="1"/>
    <col min="7687" max="7687" width="11.703125" style="50" bestFit="1" customWidth="1"/>
    <col min="7688" max="7936" width="9.14453125" style="50"/>
    <col min="7937" max="7937" width="37.26171875" style="50" customWidth="1"/>
    <col min="7938" max="7938" width="18.4296875" style="50" bestFit="1" customWidth="1"/>
    <col min="7939" max="7942" width="12.375" style="50" bestFit="1" customWidth="1"/>
    <col min="7943" max="7943" width="11.703125" style="50" bestFit="1" customWidth="1"/>
    <col min="7944" max="8192" width="9.14453125" style="50"/>
    <col min="8193" max="8193" width="37.26171875" style="50" customWidth="1"/>
    <col min="8194" max="8194" width="18.4296875" style="50" bestFit="1" customWidth="1"/>
    <col min="8195" max="8198" width="12.375" style="50" bestFit="1" customWidth="1"/>
    <col min="8199" max="8199" width="11.703125" style="50" bestFit="1" customWidth="1"/>
    <col min="8200" max="8448" width="9.14453125" style="50"/>
    <col min="8449" max="8449" width="37.26171875" style="50" customWidth="1"/>
    <col min="8450" max="8450" width="18.4296875" style="50" bestFit="1" customWidth="1"/>
    <col min="8451" max="8454" width="12.375" style="50" bestFit="1" customWidth="1"/>
    <col min="8455" max="8455" width="11.703125" style="50" bestFit="1" customWidth="1"/>
    <col min="8456" max="8704" width="9.14453125" style="50"/>
    <col min="8705" max="8705" width="37.26171875" style="50" customWidth="1"/>
    <col min="8706" max="8706" width="18.4296875" style="50" bestFit="1" customWidth="1"/>
    <col min="8707" max="8710" width="12.375" style="50" bestFit="1" customWidth="1"/>
    <col min="8711" max="8711" width="11.703125" style="50" bestFit="1" customWidth="1"/>
    <col min="8712" max="8960" width="9.14453125" style="50"/>
    <col min="8961" max="8961" width="37.26171875" style="50" customWidth="1"/>
    <col min="8962" max="8962" width="18.4296875" style="50" bestFit="1" customWidth="1"/>
    <col min="8963" max="8966" width="12.375" style="50" bestFit="1" customWidth="1"/>
    <col min="8967" max="8967" width="11.703125" style="50" bestFit="1" customWidth="1"/>
    <col min="8968" max="9216" width="9.14453125" style="50"/>
    <col min="9217" max="9217" width="37.26171875" style="50" customWidth="1"/>
    <col min="9218" max="9218" width="18.4296875" style="50" bestFit="1" customWidth="1"/>
    <col min="9219" max="9222" width="12.375" style="50" bestFit="1" customWidth="1"/>
    <col min="9223" max="9223" width="11.703125" style="50" bestFit="1" customWidth="1"/>
    <col min="9224" max="9472" width="9.14453125" style="50"/>
    <col min="9473" max="9473" width="37.26171875" style="50" customWidth="1"/>
    <col min="9474" max="9474" width="18.4296875" style="50" bestFit="1" customWidth="1"/>
    <col min="9475" max="9478" width="12.375" style="50" bestFit="1" customWidth="1"/>
    <col min="9479" max="9479" width="11.703125" style="50" bestFit="1" customWidth="1"/>
    <col min="9480" max="9728" width="9.14453125" style="50"/>
    <col min="9729" max="9729" width="37.26171875" style="50" customWidth="1"/>
    <col min="9730" max="9730" width="18.4296875" style="50" bestFit="1" customWidth="1"/>
    <col min="9731" max="9734" width="12.375" style="50" bestFit="1" customWidth="1"/>
    <col min="9735" max="9735" width="11.703125" style="50" bestFit="1" customWidth="1"/>
    <col min="9736" max="9984" width="9.14453125" style="50"/>
    <col min="9985" max="9985" width="37.26171875" style="50" customWidth="1"/>
    <col min="9986" max="9986" width="18.4296875" style="50" bestFit="1" customWidth="1"/>
    <col min="9987" max="9990" width="12.375" style="50" bestFit="1" customWidth="1"/>
    <col min="9991" max="9991" width="11.703125" style="50" bestFit="1" customWidth="1"/>
    <col min="9992" max="10240" width="9.14453125" style="50"/>
    <col min="10241" max="10241" width="37.26171875" style="50" customWidth="1"/>
    <col min="10242" max="10242" width="18.4296875" style="50" bestFit="1" customWidth="1"/>
    <col min="10243" max="10246" width="12.375" style="50" bestFit="1" customWidth="1"/>
    <col min="10247" max="10247" width="11.703125" style="50" bestFit="1" customWidth="1"/>
    <col min="10248" max="10496" width="9.14453125" style="50"/>
    <col min="10497" max="10497" width="37.26171875" style="50" customWidth="1"/>
    <col min="10498" max="10498" width="18.4296875" style="50" bestFit="1" customWidth="1"/>
    <col min="10499" max="10502" width="12.375" style="50" bestFit="1" customWidth="1"/>
    <col min="10503" max="10503" width="11.703125" style="50" bestFit="1" customWidth="1"/>
    <col min="10504" max="10752" width="9.14453125" style="50"/>
    <col min="10753" max="10753" width="37.26171875" style="50" customWidth="1"/>
    <col min="10754" max="10754" width="18.4296875" style="50" bestFit="1" customWidth="1"/>
    <col min="10755" max="10758" width="12.375" style="50" bestFit="1" customWidth="1"/>
    <col min="10759" max="10759" width="11.703125" style="50" bestFit="1" customWidth="1"/>
    <col min="10760" max="11008" width="9.14453125" style="50"/>
    <col min="11009" max="11009" width="37.26171875" style="50" customWidth="1"/>
    <col min="11010" max="11010" width="18.4296875" style="50" bestFit="1" customWidth="1"/>
    <col min="11011" max="11014" width="12.375" style="50" bestFit="1" customWidth="1"/>
    <col min="11015" max="11015" width="11.703125" style="50" bestFit="1" customWidth="1"/>
    <col min="11016" max="11264" width="9.14453125" style="50"/>
    <col min="11265" max="11265" width="37.26171875" style="50" customWidth="1"/>
    <col min="11266" max="11266" width="18.4296875" style="50" bestFit="1" customWidth="1"/>
    <col min="11267" max="11270" width="12.375" style="50" bestFit="1" customWidth="1"/>
    <col min="11271" max="11271" width="11.703125" style="50" bestFit="1" customWidth="1"/>
    <col min="11272" max="11520" width="9.14453125" style="50"/>
    <col min="11521" max="11521" width="37.26171875" style="50" customWidth="1"/>
    <col min="11522" max="11522" width="18.4296875" style="50" bestFit="1" customWidth="1"/>
    <col min="11523" max="11526" width="12.375" style="50" bestFit="1" customWidth="1"/>
    <col min="11527" max="11527" width="11.703125" style="50" bestFit="1" customWidth="1"/>
    <col min="11528" max="11776" width="9.14453125" style="50"/>
    <col min="11777" max="11777" width="37.26171875" style="50" customWidth="1"/>
    <col min="11778" max="11778" width="18.4296875" style="50" bestFit="1" customWidth="1"/>
    <col min="11779" max="11782" width="12.375" style="50" bestFit="1" customWidth="1"/>
    <col min="11783" max="11783" width="11.703125" style="50" bestFit="1" customWidth="1"/>
    <col min="11784" max="12032" width="9.14453125" style="50"/>
    <col min="12033" max="12033" width="37.26171875" style="50" customWidth="1"/>
    <col min="12034" max="12034" width="18.4296875" style="50" bestFit="1" customWidth="1"/>
    <col min="12035" max="12038" width="12.375" style="50" bestFit="1" customWidth="1"/>
    <col min="12039" max="12039" width="11.703125" style="50" bestFit="1" customWidth="1"/>
    <col min="12040" max="12288" width="9.14453125" style="50"/>
    <col min="12289" max="12289" width="37.26171875" style="50" customWidth="1"/>
    <col min="12290" max="12290" width="18.4296875" style="50" bestFit="1" customWidth="1"/>
    <col min="12291" max="12294" width="12.375" style="50" bestFit="1" customWidth="1"/>
    <col min="12295" max="12295" width="11.703125" style="50" bestFit="1" customWidth="1"/>
    <col min="12296" max="12544" width="9.14453125" style="50"/>
    <col min="12545" max="12545" width="37.26171875" style="50" customWidth="1"/>
    <col min="12546" max="12546" width="18.4296875" style="50" bestFit="1" customWidth="1"/>
    <col min="12547" max="12550" width="12.375" style="50" bestFit="1" customWidth="1"/>
    <col min="12551" max="12551" width="11.703125" style="50" bestFit="1" customWidth="1"/>
    <col min="12552" max="12800" width="9.14453125" style="50"/>
    <col min="12801" max="12801" width="37.26171875" style="50" customWidth="1"/>
    <col min="12802" max="12802" width="18.4296875" style="50" bestFit="1" customWidth="1"/>
    <col min="12803" max="12806" width="12.375" style="50" bestFit="1" customWidth="1"/>
    <col min="12807" max="12807" width="11.703125" style="50" bestFit="1" customWidth="1"/>
    <col min="12808" max="13056" width="9.14453125" style="50"/>
    <col min="13057" max="13057" width="37.26171875" style="50" customWidth="1"/>
    <col min="13058" max="13058" width="18.4296875" style="50" bestFit="1" customWidth="1"/>
    <col min="13059" max="13062" width="12.375" style="50" bestFit="1" customWidth="1"/>
    <col min="13063" max="13063" width="11.703125" style="50" bestFit="1" customWidth="1"/>
    <col min="13064" max="13312" width="9.14453125" style="50"/>
    <col min="13313" max="13313" width="37.26171875" style="50" customWidth="1"/>
    <col min="13314" max="13314" width="18.4296875" style="50" bestFit="1" customWidth="1"/>
    <col min="13315" max="13318" width="12.375" style="50" bestFit="1" customWidth="1"/>
    <col min="13319" max="13319" width="11.703125" style="50" bestFit="1" customWidth="1"/>
    <col min="13320" max="13568" width="9.14453125" style="50"/>
    <col min="13569" max="13569" width="37.26171875" style="50" customWidth="1"/>
    <col min="13570" max="13570" width="18.4296875" style="50" bestFit="1" customWidth="1"/>
    <col min="13571" max="13574" width="12.375" style="50" bestFit="1" customWidth="1"/>
    <col min="13575" max="13575" width="11.703125" style="50" bestFit="1" customWidth="1"/>
    <col min="13576" max="13824" width="9.14453125" style="50"/>
    <col min="13825" max="13825" width="37.26171875" style="50" customWidth="1"/>
    <col min="13826" max="13826" width="18.4296875" style="50" bestFit="1" customWidth="1"/>
    <col min="13827" max="13830" width="12.375" style="50" bestFit="1" customWidth="1"/>
    <col min="13831" max="13831" width="11.703125" style="50" bestFit="1" customWidth="1"/>
    <col min="13832" max="14080" width="9.14453125" style="50"/>
    <col min="14081" max="14081" width="37.26171875" style="50" customWidth="1"/>
    <col min="14082" max="14082" width="18.4296875" style="50" bestFit="1" customWidth="1"/>
    <col min="14083" max="14086" width="12.375" style="50" bestFit="1" customWidth="1"/>
    <col min="14087" max="14087" width="11.703125" style="50" bestFit="1" customWidth="1"/>
    <col min="14088" max="14336" width="9.14453125" style="50"/>
    <col min="14337" max="14337" width="37.26171875" style="50" customWidth="1"/>
    <col min="14338" max="14338" width="18.4296875" style="50" bestFit="1" customWidth="1"/>
    <col min="14339" max="14342" width="12.375" style="50" bestFit="1" customWidth="1"/>
    <col min="14343" max="14343" width="11.703125" style="50" bestFit="1" customWidth="1"/>
    <col min="14344" max="14592" width="9.14453125" style="50"/>
    <col min="14593" max="14593" width="37.26171875" style="50" customWidth="1"/>
    <col min="14594" max="14594" width="18.4296875" style="50" bestFit="1" customWidth="1"/>
    <col min="14595" max="14598" width="12.375" style="50" bestFit="1" customWidth="1"/>
    <col min="14599" max="14599" width="11.703125" style="50" bestFit="1" customWidth="1"/>
    <col min="14600" max="14848" width="9.14453125" style="50"/>
    <col min="14849" max="14849" width="37.26171875" style="50" customWidth="1"/>
    <col min="14850" max="14850" width="18.4296875" style="50" bestFit="1" customWidth="1"/>
    <col min="14851" max="14854" width="12.375" style="50" bestFit="1" customWidth="1"/>
    <col min="14855" max="14855" width="11.703125" style="50" bestFit="1" customWidth="1"/>
    <col min="14856" max="15104" width="9.14453125" style="50"/>
    <col min="15105" max="15105" width="37.26171875" style="50" customWidth="1"/>
    <col min="15106" max="15106" width="18.4296875" style="50" bestFit="1" customWidth="1"/>
    <col min="15107" max="15110" width="12.375" style="50" bestFit="1" customWidth="1"/>
    <col min="15111" max="15111" width="11.703125" style="50" bestFit="1" customWidth="1"/>
    <col min="15112" max="15360" width="9.14453125" style="50"/>
    <col min="15361" max="15361" width="37.26171875" style="50" customWidth="1"/>
    <col min="15362" max="15362" width="18.4296875" style="50" bestFit="1" customWidth="1"/>
    <col min="15363" max="15366" width="12.375" style="50" bestFit="1" customWidth="1"/>
    <col min="15367" max="15367" width="11.703125" style="50" bestFit="1" customWidth="1"/>
    <col min="15368" max="15616" width="9.14453125" style="50"/>
    <col min="15617" max="15617" width="37.26171875" style="50" customWidth="1"/>
    <col min="15618" max="15618" width="18.4296875" style="50" bestFit="1" customWidth="1"/>
    <col min="15619" max="15622" width="12.375" style="50" bestFit="1" customWidth="1"/>
    <col min="15623" max="15623" width="11.703125" style="50" bestFit="1" customWidth="1"/>
    <col min="15624" max="15872" width="9.14453125" style="50"/>
    <col min="15873" max="15873" width="37.26171875" style="50" customWidth="1"/>
    <col min="15874" max="15874" width="18.4296875" style="50" bestFit="1" customWidth="1"/>
    <col min="15875" max="15878" width="12.375" style="50" bestFit="1" customWidth="1"/>
    <col min="15879" max="15879" width="11.703125" style="50" bestFit="1" customWidth="1"/>
    <col min="15880" max="16128" width="9.14453125" style="50"/>
    <col min="16129" max="16129" width="37.26171875" style="50" customWidth="1"/>
    <col min="16130" max="16130" width="18.4296875" style="50" bestFit="1" customWidth="1"/>
    <col min="16131" max="16134" width="12.375" style="50" bestFit="1" customWidth="1"/>
    <col min="16135" max="16135" width="11.703125" style="50" bestFit="1" customWidth="1"/>
    <col min="16136" max="16384" width="9.14453125" style="50"/>
  </cols>
  <sheetData>
    <row r="1" spans="1:18" x14ac:dyDescent="0.2">
      <c r="A1" s="465"/>
      <c r="B1" s="465"/>
      <c r="C1" s="465"/>
      <c r="D1" s="465"/>
      <c r="E1" s="465"/>
      <c r="F1" s="465"/>
    </row>
    <row r="2" spans="1:18" ht="18" x14ac:dyDescent="0.2">
      <c r="A2" s="483" t="s">
        <v>561</v>
      </c>
      <c r="B2" s="449"/>
      <c r="C2" s="449"/>
      <c r="D2" s="449"/>
      <c r="E2" s="449"/>
      <c r="F2" s="449"/>
      <c r="G2" s="449"/>
      <c r="H2" s="449"/>
      <c r="I2" s="79"/>
    </row>
    <row r="3" spans="1:18" x14ac:dyDescent="0.2">
      <c r="A3" s="80"/>
      <c r="B3" s="52"/>
      <c r="C3" s="52"/>
      <c r="D3" s="52"/>
      <c r="E3" s="52"/>
      <c r="F3" s="52"/>
    </row>
    <row r="4" spans="1:18" x14ac:dyDescent="0.15">
      <c r="A4" s="113" t="s">
        <v>0</v>
      </c>
      <c r="B4" s="114" t="s">
        <v>2</v>
      </c>
      <c r="C4" s="114" t="s">
        <v>3</v>
      </c>
      <c r="D4" s="114" t="s">
        <v>4</v>
      </c>
      <c r="E4" s="114" t="s">
        <v>5</v>
      </c>
      <c r="F4" s="114" t="s">
        <v>6</v>
      </c>
      <c r="G4" s="115" t="s">
        <v>170</v>
      </c>
      <c r="H4" s="115" t="s">
        <v>169</v>
      </c>
    </row>
    <row r="5" spans="1:18" s="51" customFormat="1" x14ac:dyDescent="0.2">
      <c r="A5" s="116"/>
      <c r="B5" s="117"/>
      <c r="C5" s="118"/>
      <c r="D5" s="118"/>
      <c r="E5" s="118"/>
      <c r="F5" s="118"/>
      <c r="G5" s="118"/>
      <c r="H5" s="118"/>
    </row>
    <row r="6" spans="1:18" x14ac:dyDescent="0.2">
      <c r="A6" s="119" t="s">
        <v>49</v>
      </c>
      <c r="B6" s="120"/>
      <c r="C6" s="120"/>
      <c r="D6" s="120"/>
      <c r="E6" s="120"/>
      <c r="F6" s="120"/>
      <c r="G6" s="120"/>
      <c r="H6" s="120"/>
    </row>
    <row r="7" spans="1:18" x14ac:dyDescent="0.2">
      <c r="A7" s="121" t="s">
        <v>50</v>
      </c>
      <c r="B7" s="122"/>
      <c r="C7" s="122"/>
      <c r="D7" s="122"/>
      <c r="E7" s="122"/>
      <c r="F7" s="122"/>
      <c r="G7" s="122"/>
      <c r="H7" s="122"/>
    </row>
    <row r="8" spans="1:18" x14ac:dyDescent="0.2">
      <c r="A8" s="123" t="s">
        <v>251</v>
      </c>
      <c r="B8" s="124">
        <f>'8.Cash Flow '!C34</f>
        <v>2289738.3872214556</v>
      </c>
      <c r="C8" s="124">
        <f>'8.Cash Flow '!D34</f>
        <v>3523238.0583087206</v>
      </c>
      <c r="D8" s="124">
        <f>'8.Cash Flow '!E34</f>
        <v>6095012.3153522015</v>
      </c>
      <c r="E8" s="124">
        <f>'8.Cash Flow '!F34</f>
        <v>10013593.644610405</v>
      </c>
      <c r="F8" s="124">
        <f>'8.Cash Flow '!G34</f>
        <v>14192535.777487755</v>
      </c>
      <c r="G8" s="124">
        <f>'8.Cash Flow '!H34</f>
        <v>20897446.62085712</v>
      </c>
      <c r="H8" s="124">
        <f>'8.Cash Flow '!I34</f>
        <v>31140164.60752368</v>
      </c>
      <c r="K8" s="63"/>
      <c r="L8" s="63"/>
      <c r="M8" s="63"/>
      <c r="N8" s="63"/>
      <c r="O8" s="63"/>
      <c r="P8" s="63"/>
      <c r="Q8" s="63"/>
      <c r="R8" s="63"/>
    </row>
    <row r="9" spans="1:18" x14ac:dyDescent="0.2">
      <c r="A9" s="125" t="s">
        <v>252</v>
      </c>
      <c r="B9" s="126">
        <f>'5.Closing Stock &amp; W Capital'!E41</f>
        <v>7054096.2967133159</v>
      </c>
      <c r="C9" s="126">
        <f>'5.Closing Stock &amp; W Capital'!F41</f>
        <v>8876019.0378538147</v>
      </c>
      <c r="D9" s="126">
        <f>'5.Closing Stock &amp; W Capital'!G41</f>
        <v>10775905.299350204</v>
      </c>
      <c r="E9" s="126">
        <f>'5.Closing Stock &amp; W Capital'!H41</f>
        <v>12843590.139401603</v>
      </c>
      <c r="F9" s="126">
        <f>'5.Closing Stock &amp; W Capital'!I41</f>
        <v>15062025.460555656</v>
      </c>
      <c r="G9" s="126">
        <f>'5.Closing Stock &amp; W Capital'!J41</f>
        <v>17529563.411103755</v>
      </c>
      <c r="H9" s="126">
        <f>'5.Closing Stock &amp; W Capital'!K41</f>
        <v>19827379.237693038</v>
      </c>
      <c r="J9" s="63">
        <f>B9</f>
        <v>7054096.2967133159</v>
      </c>
      <c r="K9" s="63"/>
      <c r="L9" s="63"/>
      <c r="M9" s="63"/>
      <c r="N9" s="63"/>
      <c r="O9" s="63"/>
      <c r="P9" s="63"/>
      <c r="Q9" s="63"/>
      <c r="R9" s="63"/>
    </row>
    <row r="10" spans="1:18" x14ac:dyDescent="0.2">
      <c r="A10" s="125" t="s">
        <v>600</v>
      </c>
      <c r="B10" s="126">
        <f>'5.Closing Stock &amp; W Capital'!E42</f>
        <v>5648837.1278121667</v>
      </c>
      <c r="C10" s="126">
        <f>'5.Closing Stock &amp; W Capital'!F42</f>
        <v>7529415.1490278887</v>
      </c>
      <c r="D10" s="126">
        <f>'5.Closing Stock &amp; W Capital'!G42</f>
        <v>9583985.7707506511</v>
      </c>
      <c r="E10" s="126">
        <f>'5.Closing Stock &amp; W Capital'!H42</f>
        <v>11825130.181007871</v>
      </c>
      <c r="F10" s="126">
        <f>'5.Closing Stock &amp; W Capital'!I42</f>
        <v>14266491.790417451</v>
      </c>
      <c r="G10" s="126">
        <f>'5.Closing Stock &amp; W Capital'!J42</f>
        <v>16922360.876634277</v>
      </c>
      <c r="H10" s="126">
        <f>'5.Closing Stock &amp; W Capital'!K42</f>
        <v>19257780.093819767</v>
      </c>
      <c r="J10" s="63">
        <f>B10</f>
        <v>5648837.1278121667</v>
      </c>
      <c r="K10" s="63"/>
      <c r="L10" s="63"/>
      <c r="M10" s="63"/>
      <c r="N10" s="63"/>
      <c r="O10" s="63"/>
      <c r="P10" s="63"/>
      <c r="Q10" s="63"/>
      <c r="R10" s="63"/>
    </row>
    <row r="11" spans="1:18" x14ac:dyDescent="0.2">
      <c r="A11" s="121" t="s">
        <v>253</v>
      </c>
      <c r="B11" s="124">
        <f t="shared" ref="B11:H11" si="0">SUM(B8:B10)</f>
        <v>14992671.811746936</v>
      </c>
      <c r="C11" s="124">
        <f t="shared" si="0"/>
        <v>19928672.245190423</v>
      </c>
      <c r="D11" s="124">
        <f t="shared" si="0"/>
        <v>26454903.385453053</v>
      </c>
      <c r="E11" s="124">
        <f t="shared" si="0"/>
        <v>34682313.965019882</v>
      </c>
      <c r="F11" s="124">
        <f t="shared" si="0"/>
        <v>43521053.02846086</v>
      </c>
      <c r="G11" s="124">
        <f t="shared" si="0"/>
        <v>55349370.908595152</v>
      </c>
      <c r="H11" s="124">
        <f t="shared" si="0"/>
        <v>70225323.939036489</v>
      </c>
      <c r="J11" s="427">
        <f>SUM(J9:J10)</f>
        <v>12702933.424525483</v>
      </c>
    </row>
    <row r="12" spans="1:18" x14ac:dyDescent="0.2">
      <c r="A12" s="121"/>
      <c r="B12" s="126"/>
      <c r="C12" s="126"/>
      <c r="D12" s="126"/>
      <c r="E12" s="126"/>
      <c r="F12" s="126"/>
      <c r="G12" s="126"/>
      <c r="H12" s="126"/>
      <c r="J12" s="63"/>
      <c r="K12" s="63"/>
      <c r="L12" s="63"/>
      <c r="M12" s="63"/>
      <c r="N12" s="63"/>
      <c r="O12" s="63"/>
      <c r="P12" s="63"/>
      <c r="Q12" s="63"/>
    </row>
    <row r="13" spans="1:18" x14ac:dyDescent="0.2">
      <c r="A13" s="127" t="s">
        <v>254</v>
      </c>
      <c r="B13" s="126">
        <f>'3.Other Exp &amp; Taxes'!C66</f>
        <v>24561591.060000002</v>
      </c>
      <c r="C13" s="126">
        <f>'3.Other Exp &amp; Taxes'!D66</f>
        <v>23581709.801398002</v>
      </c>
      <c r="D13" s="126">
        <f>'3.Other Exp &amp; Taxes'!E66</f>
        <v>22601828.542796005</v>
      </c>
      <c r="E13" s="126">
        <f>'3.Other Exp &amp; Taxes'!F66</f>
        <v>21621947.284194004</v>
      </c>
      <c r="F13" s="126">
        <f>'3.Other Exp &amp; Taxes'!G66</f>
        <v>20642066.025592003</v>
      </c>
      <c r="G13" s="126">
        <f>'3.Other Exp &amp; Taxes'!H66</f>
        <v>19662184.766990002</v>
      </c>
      <c r="H13" s="126">
        <f>'3.Other Exp &amp; Taxes'!I66</f>
        <v>18682303.508388001</v>
      </c>
    </row>
    <row r="14" spans="1:18" x14ac:dyDescent="0.2">
      <c r="A14" s="127" t="s">
        <v>255</v>
      </c>
      <c r="B14" s="126">
        <f>'3.Other Exp &amp; Taxes'!C67</f>
        <v>979881.25860200007</v>
      </c>
      <c r="C14" s="126">
        <f>'3.Other Exp &amp; Taxes'!D67</f>
        <v>979881.25860200007</v>
      </c>
      <c r="D14" s="126">
        <f>'3.Other Exp &amp; Taxes'!E67</f>
        <v>979881.25860200007</v>
      </c>
      <c r="E14" s="126">
        <f>'3.Other Exp &amp; Taxes'!F67</f>
        <v>979881.25860200007</v>
      </c>
      <c r="F14" s="126">
        <f>'3.Other Exp &amp; Taxes'!G67</f>
        <v>979881.25860200007</v>
      </c>
      <c r="G14" s="126">
        <f>'3.Other Exp &amp; Taxes'!H67</f>
        <v>979881.25860200007</v>
      </c>
      <c r="H14" s="126">
        <f>'3.Other Exp &amp; Taxes'!I67</f>
        <v>979881.25860200007</v>
      </c>
      <c r="K14" s="63"/>
      <c r="L14" s="63"/>
      <c r="M14" s="63"/>
      <c r="N14" s="63"/>
      <c r="O14" s="63"/>
      <c r="P14" s="63"/>
      <c r="Q14" s="63"/>
    </row>
    <row r="15" spans="1:18" s="52" customFormat="1" x14ac:dyDescent="0.2">
      <c r="A15" s="121" t="s">
        <v>201</v>
      </c>
      <c r="B15" s="124">
        <f t="shared" ref="B15:H15" si="1">B13-B14</f>
        <v>23581709.801398002</v>
      </c>
      <c r="C15" s="124">
        <f t="shared" si="1"/>
        <v>22601828.542796001</v>
      </c>
      <c r="D15" s="124">
        <f t="shared" si="1"/>
        <v>21621947.284194004</v>
      </c>
      <c r="E15" s="124">
        <f t="shared" si="1"/>
        <v>20642066.025592003</v>
      </c>
      <c r="F15" s="124">
        <f t="shared" si="1"/>
        <v>19662184.766990002</v>
      </c>
      <c r="G15" s="124">
        <f t="shared" si="1"/>
        <v>18682303.508388001</v>
      </c>
      <c r="H15" s="124">
        <f t="shared" si="1"/>
        <v>17702422.249786001</v>
      </c>
    </row>
    <row r="16" spans="1:18" s="52" customFormat="1" x14ac:dyDescent="0.2">
      <c r="A16" s="121"/>
      <c r="B16" s="124"/>
      <c r="C16" s="124"/>
      <c r="D16" s="124"/>
      <c r="E16" s="124"/>
      <c r="F16" s="124"/>
      <c r="G16" s="124"/>
      <c r="H16" s="124"/>
      <c r="J16" s="427">
        <f>B13+B18</f>
        <v>25342271.060000002</v>
      </c>
    </row>
    <row r="17" spans="1:11" s="52" customFormat="1" x14ac:dyDescent="0.2">
      <c r="A17" s="128"/>
      <c r="B17" s="124"/>
      <c r="C17" s="124"/>
      <c r="D17" s="124"/>
      <c r="E17" s="124"/>
      <c r="F17" s="124"/>
      <c r="G17" s="124"/>
      <c r="H17" s="124"/>
      <c r="J17" s="52">
        <f>'6.Cons Profit &amp; Loss'!B43</f>
        <v>195170</v>
      </c>
    </row>
    <row r="18" spans="1:11" s="52" customFormat="1" x14ac:dyDescent="0.2">
      <c r="A18" s="121" t="s">
        <v>515</v>
      </c>
      <c r="B18" s="124">
        <f>'8.Cash Flow '!C20-'6.Cons Profit &amp; Loss'!B43</f>
        <v>780680</v>
      </c>
      <c r="C18" s="124">
        <f>B18-'6.Cons Profit &amp; Loss'!C43</f>
        <v>585510</v>
      </c>
      <c r="D18" s="124">
        <f>C18-'6.Cons Profit &amp; Loss'!D43</f>
        <v>390340</v>
      </c>
      <c r="E18" s="124">
        <f>D18-'6.Cons Profit &amp; Loss'!E43</f>
        <v>195170</v>
      </c>
      <c r="F18" s="124">
        <f>E18-'6.Cons Profit &amp; Loss'!F43</f>
        <v>0</v>
      </c>
      <c r="G18" s="124">
        <f>F18-'6.Cons Profit &amp; Loss'!G43</f>
        <v>0</v>
      </c>
      <c r="H18" s="124">
        <f>G18-'6.Cons Profit &amp; Loss'!H43</f>
        <v>0</v>
      </c>
      <c r="J18" s="427">
        <f>J16+J17</f>
        <v>25537441.060000002</v>
      </c>
    </row>
    <row r="19" spans="1:11" x14ac:dyDescent="0.2">
      <c r="A19" s="127"/>
      <c r="B19" s="126"/>
      <c r="C19" s="126"/>
      <c r="D19" s="126"/>
      <c r="E19" s="126"/>
      <c r="F19" s="126"/>
      <c r="G19" s="126"/>
      <c r="H19" s="126"/>
    </row>
    <row r="20" spans="1:11" x14ac:dyDescent="0.2">
      <c r="A20" s="128" t="s">
        <v>257</v>
      </c>
      <c r="B20" s="129">
        <f t="shared" ref="B20:H20" si="2">B11+B15+B17+B18</f>
        <v>39355061.613144934</v>
      </c>
      <c r="C20" s="129">
        <f t="shared" si="2"/>
        <v>43116010.787986428</v>
      </c>
      <c r="D20" s="129">
        <f t="shared" si="2"/>
        <v>48467190.669647053</v>
      </c>
      <c r="E20" s="129">
        <f t="shared" si="2"/>
        <v>55519549.990611881</v>
      </c>
      <c r="F20" s="129">
        <f t="shared" si="2"/>
        <v>63183237.795450866</v>
      </c>
      <c r="G20" s="129">
        <f t="shared" si="2"/>
        <v>74031674.416983157</v>
      </c>
      <c r="H20" s="129">
        <f t="shared" si="2"/>
        <v>87927746.188822493</v>
      </c>
      <c r="J20" s="63">
        <f>SUM(J9:J19)</f>
        <v>76480748.969050974</v>
      </c>
    </row>
    <row r="21" spans="1:11" x14ac:dyDescent="0.2">
      <c r="A21" s="116"/>
      <c r="B21" s="130"/>
      <c r="C21" s="130"/>
      <c r="D21" s="130"/>
      <c r="E21" s="130"/>
      <c r="F21" s="130"/>
      <c r="G21" s="130"/>
      <c r="H21" s="130"/>
    </row>
    <row r="22" spans="1:11" x14ac:dyDescent="0.2">
      <c r="A22" s="119" t="s">
        <v>258</v>
      </c>
      <c r="B22" s="131"/>
      <c r="C22" s="131"/>
      <c r="D22" s="131"/>
      <c r="E22" s="131"/>
      <c r="F22" s="131"/>
      <c r="G22" s="131"/>
      <c r="H22" s="131">
        <f>'11.F&amp;V Crop Production details'!H83</f>
        <v>0</v>
      </c>
    </row>
    <row r="23" spans="1:11" x14ac:dyDescent="0.2">
      <c r="A23" s="121" t="s">
        <v>259</v>
      </c>
      <c r="B23" s="131"/>
      <c r="C23" s="131"/>
      <c r="D23" s="131"/>
      <c r="E23" s="131"/>
      <c r="F23" s="131"/>
      <c r="G23" s="131"/>
      <c r="H23" s="131"/>
    </row>
    <row r="24" spans="1:11" x14ac:dyDescent="0.2">
      <c r="A24" s="125" t="s">
        <v>260</v>
      </c>
      <c r="B24" s="124">
        <f>'5.Closing Stock &amp; W Capital'!E57</f>
        <v>1266322.0177643937</v>
      </c>
      <c r="C24" s="124">
        <f>'5.Closing Stock &amp; W Capital'!F57</f>
        <v>1897795.2890819223</v>
      </c>
      <c r="D24" s="124">
        <f>'5.Closing Stock &amp; W Capital'!G57</f>
        <v>2624112.0944496989</v>
      </c>
      <c r="E24" s="124">
        <f>'5.Closing Stock &amp; W Capital'!H57</f>
        <v>3418336.1638162807</v>
      </c>
      <c r="F24" s="124">
        <f>'5.Closing Stock &amp; W Capital'!I57</f>
        <v>4263592.6048738416</v>
      </c>
      <c r="G24" s="124">
        <f>'5.Closing Stock &amp; W Capital'!J57</f>
        <v>5229377.0331303896</v>
      </c>
      <c r="H24" s="124">
        <f>'5.Closing Stock &amp; W Capital'!K57</f>
        <v>6057141.1275399579</v>
      </c>
      <c r="J24" s="63">
        <f>B24</f>
        <v>1266322.0177643937</v>
      </c>
    </row>
    <row r="25" spans="1:11" x14ac:dyDescent="0.2">
      <c r="A25" s="125" t="s">
        <v>261</v>
      </c>
      <c r="B25" s="130">
        <f>'5.Closing Stock &amp; W Capital'!E54</f>
        <v>11014504.067506291</v>
      </c>
      <c r="C25" s="130">
        <f>'5.Closing Stock &amp; W Capital'!F54</f>
        <v>13875040.468105806</v>
      </c>
      <c r="D25" s="130">
        <f>'5.Closing Stock &amp; W Capital'!G54</f>
        <v>16861074.944167923</v>
      </c>
      <c r="E25" s="130">
        <f>'5.Closing Stock &amp; W Capital'!H54</f>
        <v>20110938.768654436</v>
      </c>
      <c r="F25" s="130">
        <f>'5.Closing Stock &amp; W Capital'!I54</f>
        <v>23643727.111141317</v>
      </c>
      <c r="G25" s="130">
        <f>'5.Closing Stock &amp; W Capital'!J54</f>
        <v>27479421.576897513</v>
      </c>
      <c r="H25" s="130">
        <f>'5.Closing Stock &amp; W Capital'!K54</f>
        <v>31008971.161459532</v>
      </c>
      <c r="J25" s="63">
        <f>B25</f>
        <v>11014504.067506291</v>
      </c>
    </row>
    <row r="26" spans="1:11" s="51" customFormat="1" x14ac:dyDescent="0.2">
      <c r="A26" s="125" t="s">
        <v>262</v>
      </c>
      <c r="B26" s="124"/>
      <c r="C26" s="124"/>
      <c r="D26" s="124"/>
      <c r="E26" s="124"/>
      <c r="F26" s="124"/>
      <c r="G26" s="124"/>
      <c r="H26" s="124"/>
    </row>
    <row r="27" spans="1:11" s="51" customFormat="1" x14ac:dyDescent="0.2">
      <c r="A27" s="121" t="s">
        <v>263</v>
      </c>
      <c r="B27" s="129">
        <f t="shared" ref="B27:H27" si="3">SUM(B24:B26)</f>
        <v>12280826.085270684</v>
      </c>
      <c r="C27" s="129">
        <f t="shared" si="3"/>
        <v>15772835.757187728</v>
      </c>
      <c r="D27" s="129">
        <f t="shared" si="3"/>
        <v>19485187.038617622</v>
      </c>
      <c r="E27" s="129">
        <f t="shared" si="3"/>
        <v>23529274.932470717</v>
      </c>
      <c r="F27" s="129">
        <f t="shared" si="3"/>
        <v>27907319.71601516</v>
      </c>
      <c r="G27" s="129">
        <f t="shared" si="3"/>
        <v>32708798.610027902</v>
      </c>
      <c r="H27" s="129">
        <f t="shared" si="3"/>
        <v>37066112.28899949</v>
      </c>
    </row>
    <row r="28" spans="1:11" s="51" customFormat="1" x14ac:dyDescent="0.2">
      <c r="A28" s="121" t="s">
        <v>264</v>
      </c>
      <c r="B28" s="129">
        <f>'4.TL repayment sch'!G21</f>
        <v>7661232.318</v>
      </c>
      <c r="C28" s="129">
        <f>'4.TL repayment sch'!G33</f>
        <v>6733301.2150470307</v>
      </c>
      <c r="D28" s="129">
        <f>'4.TL repayment sch'!G45</f>
        <v>5687685.2220016588</v>
      </c>
      <c r="E28" s="129">
        <f>'4.TL repayment sch'!G57</f>
        <v>4509458.949131838</v>
      </c>
      <c r="F28" s="129">
        <f>'4.TL repayment sch'!G69</f>
        <v>3181804.093703025</v>
      </c>
      <c r="G28" s="129">
        <f>'4.TL repayment sch'!G81</f>
        <v>1685769.3712295955</v>
      </c>
      <c r="H28" s="129">
        <f>'[1]Term Loan'!J72+'[1]Term Loan'!S72</f>
        <v>0</v>
      </c>
      <c r="J28" s="426">
        <f>SUM(J24:J27)</f>
        <v>12280826.085270684</v>
      </c>
      <c r="K28" s="426">
        <f>J11-J28</f>
        <v>422107.33925479837</v>
      </c>
    </row>
    <row r="29" spans="1:11" s="51" customFormat="1" x14ac:dyDescent="0.2">
      <c r="A29" s="121" t="s">
        <v>265</v>
      </c>
      <c r="B29" s="129"/>
      <c r="C29" s="129"/>
      <c r="D29" s="129"/>
      <c r="E29" s="129"/>
      <c r="F29" s="129"/>
      <c r="G29" s="129"/>
      <c r="H29" s="129"/>
    </row>
    <row r="30" spans="1:11" s="51" customFormat="1" x14ac:dyDescent="0.2">
      <c r="A30" s="121"/>
      <c r="B30" s="132"/>
      <c r="C30" s="132"/>
      <c r="D30" s="132"/>
      <c r="E30" s="132"/>
      <c r="F30" s="132"/>
      <c r="G30" s="132"/>
      <c r="H30" s="132"/>
      <c r="J30" s="426">
        <f>B28+B33+B34</f>
        <v>27225870.417019196</v>
      </c>
    </row>
    <row r="31" spans="1:11" x14ac:dyDescent="0.2">
      <c r="A31" s="128" t="s">
        <v>266</v>
      </c>
      <c r="B31" s="129">
        <f>SUM(B27:B29)</f>
        <v>19942058.403270684</v>
      </c>
      <c r="C31" s="129">
        <f t="shared" ref="C31:H31" si="4">SUM(C27:C29)</f>
        <v>22506136.972234759</v>
      </c>
      <c r="D31" s="129">
        <f t="shared" si="4"/>
        <v>25172872.260619283</v>
      </c>
      <c r="E31" s="129">
        <f t="shared" si="4"/>
        <v>28038733.881602556</v>
      </c>
      <c r="F31" s="129">
        <f t="shared" si="4"/>
        <v>31089123.809718184</v>
      </c>
      <c r="G31" s="129">
        <f t="shared" si="4"/>
        <v>34394567.981257498</v>
      </c>
      <c r="H31" s="129">
        <f t="shared" si="4"/>
        <v>37066112.28899949</v>
      </c>
      <c r="J31" s="50">
        <f>'1.Project Cost and MOF'!D11</f>
        <v>1688429.3570191916</v>
      </c>
    </row>
    <row r="32" spans="1:11" x14ac:dyDescent="0.2">
      <c r="A32" s="116"/>
      <c r="B32" s="133"/>
      <c r="C32" s="133"/>
      <c r="D32" s="133"/>
      <c r="E32" s="133"/>
      <c r="F32" s="133"/>
      <c r="G32" s="133"/>
      <c r="H32" s="133"/>
      <c r="J32" s="63">
        <f>J30-J31</f>
        <v>25537441.060000002</v>
      </c>
    </row>
    <row r="33" spans="1:8" x14ac:dyDescent="0.2">
      <c r="A33" s="127" t="s">
        <v>267</v>
      </c>
      <c r="B33" s="126">
        <f>'1.Project Cost and MOF'!E22</f>
        <v>4242173.4630191941</v>
      </c>
      <c r="C33" s="126">
        <f>B33</f>
        <v>4242173.4630191941</v>
      </c>
      <c r="D33" s="126">
        <f t="shared" ref="D33:H33" si="5">C33</f>
        <v>4242173.4630191941</v>
      </c>
      <c r="E33" s="126">
        <f t="shared" si="5"/>
        <v>4242173.4630191941</v>
      </c>
      <c r="F33" s="126">
        <f t="shared" si="5"/>
        <v>4242173.4630191941</v>
      </c>
      <c r="G33" s="126">
        <f t="shared" si="5"/>
        <v>4242173.4630191941</v>
      </c>
      <c r="H33" s="126">
        <f t="shared" si="5"/>
        <v>4242173.4630191941</v>
      </c>
    </row>
    <row r="34" spans="1:8" x14ac:dyDescent="0.2">
      <c r="A34" s="127" t="s">
        <v>516</v>
      </c>
      <c r="B34" s="126">
        <f>'1.Project Cost and MOF'!E20</f>
        <v>15322464.636000002</v>
      </c>
      <c r="C34" s="126">
        <f>B34</f>
        <v>15322464.636000002</v>
      </c>
      <c r="D34" s="126">
        <f t="shared" ref="D34:H34" si="6">C34</f>
        <v>15322464.636000002</v>
      </c>
      <c r="E34" s="126">
        <f t="shared" si="6"/>
        <v>15322464.636000002</v>
      </c>
      <c r="F34" s="126">
        <f t="shared" si="6"/>
        <v>15322464.636000002</v>
      </c>
      <c r="G34" s="126">
        <f t="shared" si="6"/>
        <v>15322464.636000002</v>
      </c>
      <c r="H34" s="126">
        <f t="shared" si="6"/>
        <v>15322464.636000002</v>
      </c>
    </row>
    <row r="35" spans="1:8" x14ac:dyDescent="0.2">
      <c r="A35" s="121" t="s">
        <v>268</v>
      </c>
      <c r="B35" s="126"/>
      <c r="C35" s="126"/>
      <c r="D35" s="126"/>
      <c r="E35" s="126"/>
      <c r="F35" s="126"/>
      <c r="G35" s="126"/>
      <c r="H35" s="126"/>
    </row>
    <row r="36" spans="1:8" x14ac:dyDescent="0.2">
      <c r="A36" s="127" t="s">
        <v>269</v>
      </c>
      <c r="B36" s="126">
        <v>0</v>
      </c>
      <c r="C36" s="126">
        <f t="shared" ref="C36:H36" si="7">B39</f>
        <v>-151634.88914491539</v>
      </c>
      <c r="D36" s="126">
        <f t="shared" si="7"/>
        <v>1045235.7167325586</v>
      </c>
      <c r="E36" s="126">
        <f t="shared" si="7"/>
        <v>3729680.3100087084</v>
      </c>
      <c r="F36" s="126">
        <f t="shared" si="7"/>
        <v>7916178.0099903559</v>
      </c>
      <c r="G36" s="126">
        <f t="shared" si="7"/>
        <v>12529475.88671371</v>
      </c>
      <c r="H36" s="126">
        <f t="shared" si="7"/>
        <v>20072468.336706616</v>
      </c>
    </row>
    <row r="37" spans="1:8" x14ac:dyDescent="0.2">
      <c r="A37" s="127" t="s">
        <v>270</v>
      </c>
      <c r="B37" s="126">
        <f>'6.Cons Profit &amp; Loss'!B53</f>
        <v>-151634.88914491539</v>
      </c>
      <c r="C37" s="126">
        <f>'6.Cons Profit &amp; Loss'!C51</f>
        <v>1196870.605877474</v>
      </c>
      <c r="D37" s="126">
        <f>'6.Cons Profit &amp; Loss'!D51</f>
        <v>2684444.5932761501</v>
      </c>
      <c r="E37" s="126">
        <f>'6.Cons Profit &amp; Loss'!E51</f>
        <v>4186497.6999816475</v>
      </c>
      <c r="F37" s="126">
        <f>'6.Cons Profit &amp; Loss'!F51</f>
        <v>4613297.8767233547</v>
      </c>
      <c r="G37" s="126">
        <f>'6.Cons Profit &amp; Loss'!G51</f>
        <v>7542992.4499929082</v>
      </c>
      <c r="H37" s="126">
        <f>'6.Cons Profit &amp; Loss'!H51</f>
        <v>11224527.464097425</v>
      </c>
    </row>
    <row r="38" spans="1:8" x14ac:dyDescent="0.2">
      <c r="A38" s="127" t="s">
        <v>271</v>
      </c>
      <c r="B38" s="126"/>
      <c r="C38" s="126"/>
      <c r="D38" s="126"/>
      <c r="E38" s="126"/>
      <c r="F38" s="126"/>
      <c r="G38" s="126"/>
      <c r="H38" s="126"/>
    </row>
    <row r="39" spans="1:8" x14ac:dyDescent="0.2">
      <c r="A39" s="127" t="s">
        <v>272</v>
      </c>
      <c r="B39" s="126">
        <f t="shared" ref="B39:H39" si="8">B36+B37-B38</f>
        <v>-151634.88914491539</v>
      </c>
      <c r="C39" s="126">
        <f t="shared" si="8"/>
        <v>1045235.7167325586</v>
      </c>
      <c r="D39" s="126">
        <f t="shared" si="8"/>
        <v>3729680.3100087084</v>
      </c>
      <c r="E39" s="126">
        <f t="shared" si="8"/>
        <v>7916178.0099903559</v>
      </c>
      <c r="F39" s="126">
        <f t="shared" si="8"/>
        <v>12529475.88671371</v>
      </c>
      <c r="G39" s="126">
        <f t="shared" si="8"/>
        <v>20072468.336706616</v>
      </c>
      <c r="H39" s="126">
        <f t="shared" si="8"/>
        <v>31296995.800804041</v>
      </c>
    </row>
    <row r="40" spans="1:8" x14ac:dyDescent="0.2">
      <c r="A40" s="127"/>
      <c r="B40" s="131"/>
      <c r="C40" s="131"/>
      <c r="D40" s="131"/>
      <c r="E40" s="131"/>
      <c r="F40" s="131"/>
      <c r="G40" s="131"/>
      <c r="H40" s="131"/>
    </row>
    <row r="41" spans="1:8" x14ac:dyDescent="0.2">
      <c r="A41" s="134" t="s">
        <v>273</v>
      </c>
      <c r="B41" s="135">
        <f>B33+B39+B34</f>
        <v>19413003.20987428</v>
      </c>
      <c r="C41" s="135">
        <f t="shared" ref="C41:H41" si="9">C33+C39+C34</f>
        <v>20609873.815751754</v>
      </c>
      <c r="D41" s="135">
        <f t="shared" si="9"/>
        <v>23294318.409027904</v>
      </c>
      <c r="E41" s="135">
        <f t="shared" si="9"/>
        <v>27480816.109009549</v>
      </c>
      <c r="F41" s="135">
        <f t="shared" si="9"/>
        <v>32094113.985732906</v>
      </c>
      <c r="G41" s="135">
        <f t="shared" si="9"/>
        <v>39637106.435725808</v>
      </c>
      <c r="H41" s="135">
        <f t="shared" si="9"/>
        <v>50861633.899823233</v>
      </c>
    </row>
    <row r="42" spans="1:8" x14ac:dyDescent="0.2">
      <c r="A42" s="116"/>
      <c r="B42" s="126"/>
      <c r="C42" s="126"/>
      <c r="D42" s="126"/>
      <c r="E42" s="126"/>
      <c r="F42" s="126"/>
      <c r="G42" s="126"/>
      <c r="H42" s="126"/>
    </row>
    <row r="43" spans="1:8" x14ac:dyDescent="0.2">
      <c r="A43" s="128" t="s">
        <v>274</v>
      </c>
      <c r="B43" s="129">
        <f t="shared" ref="B43:H43" si="10">B31+B41</f>
        <v>39355061.613144964</v>
      </c>
      <c r="C43" s="129">
        <f t="shared" si="10"/>
        <v>43116010.787986517</v>
      </c>
      <c r="D43" s="129">
        <f t="shared" si="10"/>
        <v>48467190.669647187</v>
      </c>
      <c r="E43" s="129">
        <f t="shared" si="10"/>
        <v>55519549.990612105</v>
      </c>
      <c r="F43" s="129">
        <f t="shared" si="10"/>
        <v>63183237.79545109</v>
      </c>
      <c r="G43" s="129">
        <f t="shared" si="10"/>
        <v>74031674.416983306</v>
      </c>
      <c r="H43" s="129">
        <f t="shared" si="10"/>
        <v>87927746.188822716</v>
      </c>
    </row>
    <row r="44" spans="1:8" x14ac:dyDescent="0.2">
      <c r="A44" s="116"/>
      <c r="B44" s="136"/>
      <c r="C44" s="136"/>
      <c r="D44" s="136"/>
      <c r="E44" s="136"/>
      <c r="F44" s="136"/>
      <c r="G44" s="136"/>
      <c r="H44" s="136"/>
    </row>
    <row r="45" spans="1:8" x14ac:dyDescent="0.2">
      <c r="A45" s="137" t="s">
        <v>275</v>
      </c>
      <c r="B45" s="138"/>
      <c r="C45" s="138"/>
      <c r="D45" s="138"/>
      <c r="E45" s="138"/>
      <c r="F45" s="138"/>
      <c r="G45" s="138"/>
      <c r="H45" s="138"/>
    </row>
    <row r="46" spans="1:8" x14ac:dyDescent="0.2">
      <c r="A46" s="139" t="s">
        <v>276</v>
      </c>
      <c r="B46" s="140">
        <f>B43-B20</f>
        <v>0</v>
      </c>
      <c r="C46" s="140">
        <f t="shared" ref="C46:H46" si="11">C43-C20</f>
        <v>8.9406967163085938E-8</v>
      </c>
      <c r="D46" s="140">
        <f t="shared" si="11"/>
        <v>1.3411045074462891E-7</v>
      </c>
      <c r="E46" s="140">
        <f t="shared" si="11"/>
        <v>2.2351741790771484E-7</v>
      </c>
      <c r="F46" s="140">
        <f t="shared" si="11"/>
        <v>2.2351741790771484E-7</v>
      </c>
      <c r="G46" s="140">
        <f t="shared" si="11"/>
        <v>1.4901161193847656E-7</v>
      </c>
      <c r="H46" s="140">
        <f t="shared" si="11"/>
        <v>2.2351741790771484E-7</v>
      </c>
    </row>
    <row r="47" spans="1:8" x14ac:dyDescent="0.2">
      <c r="A47" s="139"/>
      <c r="B47" s="140"/>
      <c r="C47" s="140"/>
      <c r="D47" s="140"/>
      <c r="E47" s="140"/>
      <c r="F47" s="140"/>
      <c r="G47" s="140"/>
      <c r="H47" s="140"/>
    </row>
    <row r="48" spans="1:8" ht="15.75" thickBot="1" x14ac:dyDescent="0.25">
      <c r="A48" s="141"/>
      <c r="B48" s="142"/>
      <c r="C48" s="142"/>
      <c r="D48" s="142"/>
      <c r="E48" s="142"/>
      <c r="F48" s="142"/>
      <c r="G48" s="142"/>
      <c r="H48" s="142"/>
    </row>
    <row r="49" spans="1:9" x14ac:dyDescent="0.2">
      <c r="B49" s="53"/>
      <c r="C49" s="53"/>
      <c r="D49" s="53"/>
      <c r="E49" s="53"/>
      <c r="F49" s="53"/>
      <c r="G49" s="53"/>
      <c r="H49" s="53"/>
    </row>
    <row r="50" spans="1:9" ht="39.6" customHeight="1" x14ac:dyDescent="0.15">
      <c r="A50" s="484" t="s">
        <v>412</v>
      </c>
      <c r="B50" s="485"/>
      <c r="C50" s="485"/>
      <c r="D50" s="485"/>
      <c r="E50" s="485"/>
      <c r="F50" s="485"/>
      <c r="G50" s="485"/>
      <c r="H50" s="485"/>
      <c r="I50" s="485"/>
    </row>
  </sheetData>
  <mergeCells count="3">
    <mergeCell ref="A1:F1"/>
    <mergeCell ref="A2:H2"/>
    <mergeCell ref="A50:I50"/>
  </mergeCells>
  <conditionalFormatting sqref="B36:F38 B37:H37">
    <cfRule type="cellIs" dxfId="2" priority="3" operator="lessThan">
      <formula>0</formula>
    </cfRule>
  </conditionalFormatting>
  <conditionalFormatting sqref="G36:G38">
    <cfRule type="cellIs" dxfId="1" priority="2" operator="lessThan">
      <formula>0</formula>
    </cfRule>
  </conditionalFormatting>
  <conditionalFormatting sqref="H36:H38">
    <cfRule type="cellIs" dxfId="0" priority="1" operator="lessThan">
      <formula>0</formula>
    </cfRule>
  </conditionalFormatting>
  <pageMargins left="0.7" right="0.7" top="0.75" bottom="0.75" header="0.3" footer="0.3"/>
  <pageSetup scale="5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K42"/>
  <sheetViews>
    <sheetView view="pageBreakPreview" topLeftCell="A4" zoomScale="80" zoomScaleNormal="115" zoomScaleSheetLayoutView="80" workbookViewId="0">
      <selection activeCell="I29" sqref="I29"/>
    </sheetView>
  </sheetViews>
  <sheetFormatPr defaultRowHeight="15" x14ac:dyDescent="0.2"/>
  <cols>
    <col min="1" max="1" width="3.62890625" bestFit="1" customWidth="1"/>
    <col min="2" max="2" width="35.6484375" bestFit="1" customWidth="1"/>
    <col min="3" max="3" width="15.6015625" customWidth="1"/>
    <col min="4" max="4" width="15.73828125" customWidth="1"/>
    <col min="5" max="6" width="16.0078125" bestFit="1" customWidth="1"/>
    <col min="7" max="7" width="18.83203125" customWidth="1"/>
    <col min="8" max="9" width="17.21875" bestFit="1" customWidth="1"/>
    <col min="11" max="11" width="12.9140625" bestFit="1" customWidth="1"/>
  </cols>
  <sheetData>
    <row r="1" spans="1:11" x14ac:dyDescent="0.2">
      <c r="A1" s="465"/>
      <c r="B1" s="465"/>
      <c r="C1" s="465"/>
      <c r="D1" s="465"/>
      <c r="E1" s="465"/>
      <c r="F1" s="465"/>
      <c r="G1" s="465"/>
    </row>
    <row r="2" spans="1:11" ht="18" x14ac:dyDescent="0.2">
      <c r="A2" s="449" t="s">
        <v>562</v>
      </c>
      <c r="B2" s="449"/>
      <c r="C2" s="449"/>
      <c r="D2" s="449"/>
      <c r="E2" s="449"/>
      <c r="F2" s="449"/>
      <c r="G2" s="449"/>
      <c r="H2" s="449"/>
      <c r="I2" s="449"/>
      <c r="J2" s="79"/>
    </row>
    <row r="4" spans="1:11" x14ac:dyDescent="0.2">
      <c r="A4" s="54" t="s">
        <v>232</v>
      </c>
      <c r="B4" s="54" t="s">
        <v>0</v>
      </c>
      <c r="C4" s="55" t="s">
        <v>2</v>
      </c>
      <c r="D4" s="55" t="s">
        <v>3</v>
      </c>
      <c r="E4" s="55" t="s">
        <v>4</v>
      </c>
      <c r="F4" s="55" t="s">
        <v>5</v>
      </c>
      <c r="G4" s="55" t="s">
        <v>6</v>
      </c>
      <c r="H4" s="55" t="s">
        <v>170</v>
      </c>
      <c r="I4" s="55" t="s">
        <v>169</v>
      </c>
    </row>
    <row r="5" spans="1:11" x14ac:dyDescent="0.2">
      <c r="A5" s="37">
        <v>1</v>
      </c>
      <c r="B5" s="37" t="s">
        <v>7</v>
      </c>
      <c r="C5" s="38"/>
      <c r="D5" s="38"/>
      <c r="E5" s="38"/>
      <c r="F5" s="38"/>
      <c r="G5" s="38"/>
      <c r="H5" s="38"/>
      <c r="I5" s="38"/>
    </row>
    <row r="6" spans="1:11" x14ac:dyDescent="0.2">
      <c r="A6" s="37"/>
      <c r="B6" s="39" t="s">
        <v>143</v>
      </c>
      <c r="C6" s="38">
        <f>'6.Cons Profit &amp; Loss'!B15</f>
        <v>367820735.47148001</v>
      </c>
      <c r="D6" s="38">
        <f>'6.Cons Profit &amp; Loss'!C15</f>
        <v>462820992.68809175</v>
      </c>
      <c r="E6" s="38">
        <f>'6.Cons Profit &amp; Loss'!D15</f>
        <v>561886490.60897493</v>
      </c>
      <c r="F6" s="38">
        <f>'6.Cons Profit &amp; Loss'!E15</f>
        <v>669701485.84022641</v>
      </c>
      <c r="G6" s="38">
        <f>'6.Cons Profit &amp; Loss'!F15</f>
        <v>785377041.8718307</v>
      </c>
      <c r="H6" s="38">
        <f>'6.Cons Profit &amp; Loss'!G15</f>
        <v>914041520.72183871</v>
      </c>
      <c r="I6" s="38">
        <f>'6.Cons Profit &amp; Loss'!H15</f>
        <v>1033856203.1082797</v>
      </c>
    </row>
    <row r="7" spans="1:11" x14ac:dyDescent="0.2">
      <c r="A7" s="37">
        <v>2</v>
      </c>
      <c r="B7" s="37" t="s">
        <v>233</v>
      </c>
      <c r="C7" s="38">
        <f>'1.Project Cost and MOF'!E22</f>
        <v>4242173.4630191941</v>
      </c>
      <c r="D7" s="38"/>
      <c r="E7" s="38"/>
      <c r="F7" s="38"/>
      <c r="G7" s="38"/>
      <c r="H7" s="38"/>
      <c r="I7" s="38"/>
      <c r="K7" s="62">
        <f>C7+C9+C10</f>
        <v>27225870.417019196</v>
      </c>
    </row>
    <row r="8" spans="1:11" x14ac:dyDescent="0.2">
      <c r="A8" s="37"/>
      <c r="B8" s="37" t="s">
        <v>294</v>
      </c>
      <c r="C8" s="38"/>
      <c r="D8" s="38"/>
      <c r="E8" s="38"/>
      <c r="F8" s="38"/>
      <c r="G8" s="38"/>
      <c r="H8" s="38"/>
      <c r="I8" s="38"/>
      <c r="K8" s="62">
        <f>K7-'7.Balance Sheet'!J18</f>
        <v>1688429.3570191935</v>
      </c>
    </row>
    <row r="9" spans="1:11" x14ac:dyDescent="0.2">
      <c r="A9" s="37">
        <v>3</v>
      </c>
      <c r="B9" s="37" t="str">
        <f>'7.Balance Sheet'!A34</f>
        <v>Smart Grant -in-Aid</v>
      </c>
      <c r="C9" s="38">
        <f>'1.Project Cost and MOF'!E20</f>
        <v>15322464.636000002</v>
      </c>
      <c r="D9" s="38"/>
      <c r="E9" s="38"/>
      <c r="F9" s="38"/>
      <c r="G9" s="38"/>
      <c r="H9" s="38"/>
      <c r="I9" s="38"/>
      <c r="K9" s="62">
        <f>C11</f>
        <v>1266322.0177643937</v>
      </c>
    </row>
    <row r="10" spans="1:11" x14ac:dyDescent="0.2">
      <c r="A10" s="37">
        <v>4</v>
      </c>
      <c r="B10" s="37" t="s">
        <v>234</v>
      </c>
      <c r="C10" s="38">
        <f>'1.Project Cost and MOF'!E21</f>
        <v>7661232.318</v>
      </c>
      <c r="D10" s="38"/>
      <c r="E10" s="38"/>
      <c r="F10" s="38"/>
      <c r="G10" s="38"/>
      <c r="H10" s="38"/>
      <c r="I10" s="38"/>
    </row>
    <row r="11" spans="1:11" x14ac:dyDescent="0.2">
      <c r="A11" s="37">
        <v>5</v>
      </c>
      <c r="B11" s="37" t="s">
        <v>235</v>
      </c>
      <c r="C11" s="38">
        <f>'5.Closing Stock &amp; W Capital'!E55*75%</f>
        <v>1266322.0177643937</v>
      </c>
      <c r="D11" s="38">
        <f>'5.Closing Stock &amp; W Capital'!F55</f>
        <v>2530393.7187758964</v>
      </c>
      <c r="E11" s="38">
        <f>'5.Closing Stock &amp; W Capital'!G55</f>
        <v>3498816.1259329319</v>
      </c>
      <c r="F11" s="38">
        <f>'5.Closing Stock &amp; W Capital'!H55</f>
        <v>4557781.5517550409</v>
      </c>
      <c r="G11" s="38">
        <f>'5.Closing Stock &amp; W Capital'!I55</f>
        <v>5684790.1398317888</v>
      </c>
      <c r="H11" s="38">
        <f>'5.Closing Stock &amp; W Capital'!J55</f>
        <v>6972502.7108405195</v>
      </c>
      <c r="I11" s="38">
        <f>'5.Closing Stock &amp; W Capital'!K55</f>
        <v>8076188.1700532772</v>
      </c>
    </row>
    <row r="12" spans="1:11" x14ac:dyDescent="0.2">
      <c r="A12" s="37"/>
      <c r="B12" s="37" t="s">
        <v>236</v>
      </c>
      <c r="C12" s="40">
        <f>SUM(C6:C11)</f>
        <v>396312927.90626359</v>
      </c>
      <c r="D12" s="40">
        <f t="shared" ref="D12:I12" si="0">SUM(D6:D11)</f>
        <v>465351386.40686762</v>
      </c>
      <c r="E12" s="40">
        <f t="shared" si="0"/>
        <v>565385306.73490787</v>
      </c>
      <c r="F12" s="40">
        <f t="shared" si="0"/>
        <v>674259267.39198148</v>
      </c>
      <c r="G12" s="40">
        <f t="shared" si="0"/>
        <v>791061832.01166248</v>
      </c>
      <c r="H12" s="40">
        <f t="shared" si="0"/>
        <v>921014023.43267918</v>
      </c>
      <c r="I12" s="40">
        <f t="shared" si="0"/>
        <v>1041932391.2783329</v>
      </c>
    </row>
    <row r="13" spans="1:11" x14ac:dyDescent="0.2">
      <c r="A13" s="486" t="s">
        <v>237</v>
      </c>
      <c r="B13" s="486"/>
      <c r="C13" s="41"/>
      <c r="D13" s="41"/>
      <c r="E13" s="41"/>
      <c r="F13" s="41"/>
      <c r="G13" s="41"/>
      <c r="H13" s="41"/>
      <c r="I13" s="41"/>
    </row>
    <row r="14" spans="1:11" x14ac:dyDescent="0.2">
      <c r="A14" s="37">
        <v>1</v>
      </c>
      <c r="B14" s="37" t="s">
        <v>238</v>
      </c>
      <c r="C14" s="41"/>
      <c r="D14" s="41"/>
      <c r="E14" s="41"/>
      <c r="F14" s="41"/>
      <c r="G14" s="41"/>
      <c r="H14" s="41"/>
      <c r="I14" s="41"/>
    </row>
    <row r="15" spans="1:11" x14ac:dyDescent="0.2">
      <c r="A15" s="42" t="s">
        <v>239</v>
      </c>
      <c r="B15" s="41" t="str">
        <f>'[1]Total Cost of Project'!C3</f>
        <v>Land and Building</v>
      </c>
      <c r="C15" s="43">
        <f>'1.Project Cost and MOF'!D5</f>
        <v>18391001.060000002</v>
      </c>
      <c r="D15" s="43"/>
      <c r="E15" s="43"/>
      <c r="F15" s="43"/>
      <c r="G15" s="43"/>
      <c r="H15" s="43"/>
      <c r="I15" s="43"/>
    </row>
    <row r="16" spans="1:11" x14ac:dyDescent="0.2">
      <c r="A16" s="42" t="s">
        <v>240</v>
      </c>
      <c r="B16" s="44" t="str">
        <f>'[1]Total Cost of Project'!C4</f>
        <v>Machinery and Equipment</v>
      </c>
      <c r="C16" s="43">
        <f>'1.Project Cost and MOF'!D6</f>
        <v>5999250</v>
      </c>
      <c r="D16" s="43"/>
      <c r="E16" s="43"/>
      <c r="F16" s="43"/>
      <c r="G16" s="43"/>
      <c r="H16" s="43"/>
      <c r="I16" s="43"/>
    </row>
    <row r="17" spans="1:9" x14ac:dyDescent="0.2">
      <c r="A17" s="42" t="s">
        <v>277</v>
      </c>
      <c r="B17" s="44" t="s">
        <v>335</v>
      </c>
      <c r="C17" s="43">
        <f>'1.Project Cost and MOF'!D7</f>
        <v>0</v>
      </c>
      <c r="D17" s="43"/>
      <c r="E17" s="43"/>
      <c r="F17" s="43"/>
      <c r="G17" s="43"/>
      <c r="H17" s="43"/>
      <c r="I17" s="43"/>
    </row>
    <row r="18" spans="1:9" x14ac:dyDescent="0.2">
      <c r="A18" s="42" t="s">
        <v>279</v>
      </c>
      <c r="B18" s="44" t="s">
        <v>726</v>
      </c>
      <c r="C18" s="43">
        <f>'1.Project Cost and MOF'!D8</f>
        <v>171340</v>
      </c>
      <c r="D18" s="43"/>
      <c r="E18" s="43"/>
      <c r="F18" s="43"/>
      <c r="G18" s="43"/>
      <c r="H18" s="43"/>
      <c r="I18" s="43"/>
    </row>
    <row r="19" spans="1:9" x14ac:dyDescent="0.2">
      <c r="A19" s="42" t="s">
        <v>337</v>
      </c>
      <c r="B19" s="44" t="s">
        <v>278</v>
      </c>
      <c r="C19" s="43">
        <f>'1.Project Cost and MOF'!D9</f>
        <v>0</v>
      </c>
      <c r="D19" s="38"/>
      <c r="E19" s="38"/>
      <c r="F19" s="38"/>
      <c r="G19" s="38"/>
      <c r="H19" s="38"/>
      <c r="I19" s="38"/>
    </row>
    <row r="20" spans="1:9" x14ac:dyDescent="0.2">
      <c r="A20" s="42" t="s">
        <v>338</v>
      </c>
      <c r="B20" s="44" t="s">
        <v>280</v>
      </c>
      <c r="C20" s="43">
        <f>'1.Project Cost and MOF'!D10</f>
        <v>975850</v>
      </c>
      <c r="D20" s="38"/>
      <c r="E20" s="38"/>
      <c r="F20" s="38"/>
      <c r="G20" s="38"/>
      <c r="H20" s="38"/>
      <c r="I20" s="38"/>
    </row>
    <row r="21" spans="1:9" x14ac:dyDescent="0.2">
      <c r="A21" s="37">
        <v>2</v>
      </c>
      <c r="B21" s="37" t="s">
        <v>241</v>
      </c>
      <c r="C21" s="41"/>
      <c r="D21" s="41"/>
      <c r="E21" s="41"/>
      <c r="F21" s="41"/>
      <c r="G21" s="41"/>
      <c r="H21" s="41"/>
      <c r="I21" s="41"/>
    </row>
    <row r="22" spans="1:9" x14ac:dyDescent="0.2">
      <c r="A22" s="42" t="s">
        <v>239</v>
      </c>
      <c r="B22" s="41" t="s">
        <v>314</v>
      </c>
      <c r="C22" s="68">
        <f>'6.Cons Profit &amp; Loss'!B25</f>
        <v>362390716.7764312</v>
      </c>
      <c r="D22" s="68">
        <f>'6.Cons Profit &amp; Loss'!C25</f>
        <v>455379515.17551458</v>
      </c>
      <c r="E22" s="68">
        <f>'6.Cons Profit &amp; Loss'!D25</f>
        <v>552430861.47223258</v>
      </c>
      <c r="F22" s="68">
        <f>'6.Cons Profit &amp; Loss'!E25</f>
        <v>658046023.44939125</v>
      </c>
      <c r="G22" s="68">
        <f>'6.Cons Profit &amp; Loss'!F25</f>
        <v>772844638.13994229</v>
      </c>
      <c r="H22" s="68">
        <f>'6.Cons Profit &amp; Loss'!G25</f>
        <v>897474834.88810003</v>
      </c>
      <c r="I22" s="68">
        <f>'6.Cons Profit &amp; Loss'!H25</f>
        <v>1012108462.0397091</v>
      </c>
    </row>
    <row r="23" spans="1:9" x14ac:dyDescent="0.2">
      <c r="A23" s="42" t="s">
        <v>240</v>
      </c>
      <c r="B23" s="41" t="s">
        <v>312</v>
      </c>
      <c r="C23" s="38">
        <f>'6.Cons Profit &amp; Loss'!B36</f>
        <v>3335295.8053000001</v>
      </c>
      <c r="D23" s="38">
        <f>'6.Cons Profit &amp; Loss'!C36</f>
        <v>3615748.7053</v>
      </c>
      <c r="E23" s="38">
        <f>'6.Cons Profit &amp; Loss'!D36</f>
        <v>3794863.5433</v>
      </c>
      <c r="F23" s="38">
        <f>'6.Cons Profit &amp; Loss'!E36</f>
        <v>3983080.3808500003</v>
      </c>
      <c r="G23" s="38">
        <f>'6.Cons Profit &amp; Loss'!F36</f>
        <v>4219140.13081</v>
      </c>
      <c r="H23" s="38">
        <f>'6.Cons Profit &amp; Loss'!G36</f>
        <v>4434999.3870855011</v>
      </c>
      <c r="I23" s="38">
        <f>'6.Cons Profit &amp; Loss'!H36</f>
        <v>4638351.6061747763</v>
      </c>
    </row>
    <row r="24" spans="1:9" x14ac:dyDescent="0.2">
      <c r="A24" s="45">
        <v>3</v>
      </c>
      <c r="B24" s="37" t="s">
        <v>514</v>
      </c>
      <c r="C24" s="38"/>
      <c r="D24" s="38"/>
      <c r="E24" s="38"/>
      <c r="F24" s="38"/>
      <c r="G24" s="38"/>
      <c r="H24" s="38"/>
      <c r="I24" s="38"/>
    </row>
    <row r="25" spans="1:9" x14ac:dyDescent="0.2">
      <c r="A25" s="42"/>
      <c r="B25" s="41" t="s">
        <v>242</v>
      </c>
      <c r="C25" s="38">
        <f>SUM('4.TL repayment sch'!E10:E21)</f>
        <v>0</v>
      </c>
      <c r="D25" s="38">
        <f>SUM('4.TL repayment sch'!E22:E33)</f>
        <v>927931.10295296949</v>
      </c>
      <c r="E25" s="38">
        <f>SUM('4.TL repayment sch'!E34:E45)</f>
        <v>1045615.9930453717</v>
      </c>
      <c r="F25" s="38">
        <f>SUM('4.TL repayment sch'!E46:E57)</f>
        <v>1178226.2728698202</v>
      </c>
      <c r="G25" s="38">
        <f>SUM('4.TL repayment sch'!E58:E69)</f>
        <v>1327654.8554288137</v>
      </c>
      <c r="H25" s="38">
        <f>SUM('4.TL repayment sch'!E70:E81)</f>
        <v>1496034.7224734291</v>
      </c>
      <c r="I25" s="38">
        <f>SUM('4.TL repayment sch'!E82:E93)</f>
        <v>1685769.3712295946</v>
      </c>
    </row>
    <row r="26" spans="1:9" x14ac:dyDescent="0.2">
      <c r="A26" s="42"/>
      <c r="B26" s="41" t="s">
        <v>243</v>
      </c>
      <c r="C26" s="38">
        <f>SUM('4.TL repayment sch'!D10:D21)</f>
        <v>919347.87815999973</v>
      </c>
      <c r="D26" s="38">
        <f>SUM('4.TL repayment sch'!D22:D33)</f>
        <v>869411.69654462114</v>
      </c>
      <c r="E26" s="38">
        <f>SUM('4.TL repayment sch'!D34:D45)</f>
        <v>751726.80645221903</v>
      </c>
      <c r="F26" s="38">
        <f>SUM('4.TL repayment sch'!D46:D57)</f>
        <v>619116.52662777016</v>
      </c>
      <c r="G26" s="38">
        <f>SUM('4.TL repayment sch'!D58:D69)</f>
        <v>469687.94406877697</v>
      </c>
      <c r="H26" s="38">
        <f>SUM('4.TL repayment sch'!D70:D81)</f>
        <v>301308.07702416187</v>
      </c>
      <c r="I26" s="38">
        <f>SUM('4.TL repayment sch'!D82:D93)</f>
        <v>111573.42826799616</v>
      </c>
    </row>
    <row r="27" spans="1:9" x14ac:dyDescent="0.2">
      <c r="A27" s="42"/>
      <c r="B27" s="41" t="s">
        <v>244</v>
      </c>
      <c r="C27" s="38">
        <f t="shared" ref="C27:I27" si="1">C11</f>
        <v>1266322.0177643937</v>
      </c>
      <c r="D27" s="38">
        <f t="shared" si="1"/>
        <v>2530393.7187758964</v>
      </c>
      <c r="E27" s="38">
        <f t="shared" si="1"/>
        <v>3498816.1259329319</v>
      </c>
      <c r="F27" s="38">
        <f t="shared" si="1"/>
        <v>4557781.5517550409</v>
      </c>
      <c r="G27" s="38">
        <f t="shared" si="1"/>
        <v>5684790.1398317888</v>
      </c>
      <c r="H27" s="38">
        <f t="shared" si="1"/>
        <v>6972502.7108405195</v>
      </c>
      <c r="I27" s="38">
        <f t="shared" si="1"/>
        <v>8076188.1700532772</v>
      </c>
    </row>
    <row r="28" spans="1:9" x14ac:dyDescent="0.2">
      <c r="A28" s="42"/>
      <c r="B28" s="41" t="s">
        <v>245</v>
      </c>
      <c r="C28" s="46">
        <f>C27*12%</f>
        <v>151958.64213172725</v>
      </c>
      <c r="D28" s="46">
        <f t="shared" ref="D28:G28" si="2">D27*12%</f>
        <v>303647.24625310756</v>
      </c>
      <c r="E28" s="46">
        <f t="shared" si="2"/>
        <v>419857.93511195184</v>
      </c>
      <c r="F28" s="46">
        <f t="shared" si="2"/>
        <v>546933.78621060494</v>
      </c>
      <c r="G28" s="46">
        <f t="shared" si="2"/>
        <v>682174.81677981466</v>
      </c>
      <c r="H28" s="46">
        <f t="shared" ref="H28:I28" si="3">H27*12%</f>
        <v>836700.32530086231</v>
      </c>
      <c r="I28" s="46">
        <f t="shared" si="3"/>
        <v>969142.58040639327</v>
      </c>
    </row>
    <row r="29" spans="1:9" x14ac:dyDescent="0.2">
      <c r="A29" s="37">
        <v>4</v>
      </c>
      <c r="B29" s="37" t="s">
        <v>246</v>
      </c>
      <c r="C29" s="38">
        <f>'6.Cons Profit &amp; Loss'!B50</f>
        <v>0</v>
      </c>
      <c r="D29" s="38">
        <f>'6.Cons Profit &amp; Loss'!C50</f>
        <v>280748</v>
      </c>
      <c r="E29" s="38">
        <f>'6.Cons Profit &amp; Loss'!D50</f>
        <v>629685</v>
      </c>
      <c r="F29" s="38">
        <f>'6.Cons Profit &amp; Loss'!E50</f>
        <v>1144782.7385631867</v>
      </c>
      <c r="G29" s="38">
        <f>'6.Cons Profit &amp; Loss'!F50</f>
        <v>1373051.7049044443</v>
      </c>
      <c r="H29" s="38">
        <f>'6.Cons Profit &amp; Loss'!G50</f>
        <v>2470804.3357331934</v>
      </c>
      <c r="I29" s="38">
        <f>'6.Cons Profit &amp; Loss'!H50</f>
        <v>3824264.7310219719</v>
      </c>
    </row>
    <row r="30" spans="1:9" ht="25.5" x14ac:dyDescent="0.2">
      <c r="A30" s="37">
        <v>5</v>
      </c>
      <c r="B30" s="37" t="s">
        <v>764</v>
      </c>
      <c r="C30" s="38">
        <f>'5.Closing Stock &amp; W Capital'!E56</f>
        <v>422107.3392547979</v>
      </c>
      <c r="D30" s="38">
        <f>'5.Closing Stock &amp; W Capital'!F56-'5.Closing Stock &amp; W Capital'!E56</f>
        <v>210491.09043917619</v>
      </c>
      <c r="E30" s="38">
        <f>'5.Closing Stock &amp; W Capital'!G56-'5.Closing Stock &amp; W Capital'!F56</f>
        <v>242105.60178925889</v>
      </c>
      <c r="F30" s="38">
        <f>'5.Closing Stock &amp; W Capital'!H56-'5.Closing Stock &amp; W Capital'!G56</f>
        <v>264741.35645552725</v>
      </c>
      <c r="G30" s="38">
        <f>'5.Closing Stock &amp; W Capital'!I56-'5.Closing Stock &amp; W Capital'!H56</f>
        <v>281752.14701918699</v>
      </c>
      <c r="H30" s="38">
        <f>'5.Closing Stock &amp; W Capital'!J56-'5.Closing Stock &amp; W Capital'!I56</f>
        <v>321928.14275218267</v>
      </c>
      <c r="I30" s="38">
        <f>'5.Closing Stock &amp; W Capital'!K56-'5.Closing Stock &amp; W Capital'!J56</f>
        <v>275921.36480318941</v>
      </c>
    </row>
    <row r="31" spans="1:9" x14ac:dyDescent="0.2">
      <c r="A31" s="37"/>
      <c r="B31" s="37" t="s">
        <v>247</v>
      </c>
      <c r="C31" s="47">
        <f>SUM(C15:C30)</f>
        <v>394023189.51904213</v>
      </c>
      <c r="D31" s="47">
        <f t="shared" ref="D31:I31" si="4">SUM(D15:D30)</f>
        <v>464117886.73578036</v>
      </c>
      <c r="E31" s="47">
        <f t="shared" si="4"/>
        <v>562813532.47786438</v>
      </c>
      <c r="F31" s="47">
        <f t="shared" si="4"/>
        <v>670340686.06272328</v>
      </c>
      <c r="G31" s="47">
        <f t="shared" si="4"/>
        <v>786882889.87878513</v>
      </c>
      <c r="H31" s="47">
        <f t="shared" si="4"/>
        <v>914309112.58930981</v>
      </c>
      <c r="I31" s="47">
        <f t="shared" si="4"/>
        <v>1031689673.2916664</v>
      </c>
    </row>
    <row r="32" spans="1:9" x14ac:dyDescent="0.2">
      <c r="A32" s="37"/>
      <c r="B32" s="37" t="s">
        <v>248</v>
      </c>
      <c r="C32" s="47">
        <f t="shared" ref="C32:I32" si="5">C12-C31</f>
        <v>2289738.3872214556</v>
      </c>
      <c r="D32" s="47">
        <f t="shared" si="5"/>
        <v>1233499.671087265</v>
      </c>
      <c r="E32" s="47">
        <f t="shared" si="5"/>
        <v>2571774.2570434809</v>
      </c>
      <c r="F32" s="47">
        <f t="shared" si="5"/>
        <v>3918581.3292582035</v>
      </c>
      <c r="G32" s="47">
        <f t="shared" si="5"/>
        <v>4178942.1328773499</v>
      </c>
      <c r="H32" s="47">
        <f t="shared" si="5"/>
        <v>6704910.8433693647</v>
      </c>
      <c r="I32" s="47">
        <f t="shared" si="5"/>
        <v>10242717.98666656</v>
      </c>
    </row>
    <row r="33" spans="1:10" x14ac:dyDescent="0.2">
      <c r="A33" s="45"/>
      <c r="B33" s="41" t="s">
        <v>249</v>
      </c>
      <c r="C33" s="41">
        <v>0</v>
      </c>
      <c r="D33" s="48">
        <f t="shared" ref="D33:I33" si="6">C34</f>
        <v>2289738.3872214556</v>
      </c>
      <c r="E33" s="48">
        <f t="shared" si="6"/>
        <v>3523238.0583087206</v>
      </c>
      <c r="F33" s="48">
        <f t="shared" si="6"/>
        <v>6095012.3153522015</v>
      </c>
      <c r="G33" s="48">
        <f t="shared" si="6"/>
        <v>10013593.644610405</v>
      </c>
      <c r="H33" s="48">
        <f t="shared" si="6"/>
        <v>14192535.777487755</v>
      </c>
      <c r="I33" s="48">
        <f t="shared" si="6"/>
        <v>20897446.62085712</v>
      </c>
    </row>
    <row r="34" spans="1:10" x14ac:dyDescent="0.2">
      <c r="A34" s="37"/>
      <c r="B34" s="49" t="s">
        <v>250</v>
      </c>
      <c r="C34" s="47">
        <f t="shared" ref="C34:I34" si="7">C32+C33</f>
        <v>2289738.3872214556</v>
      </c>
      <c r="D34" s="47">
        <f t="shared" si="7"/>
        <v>3523238.0583087206</v>
      </c>
      <c r="E34" s="47">
        <f t="shared" si="7"/>
        <v>6095012.3153522015</v>
      </c>
      <c r="F34" s="47">
        <f t="shared" si="7"/>
        <v>10013593.644610405</v>
      </c>
      <c r="G34" s="47">
        <f t="shared" si="7"/>
        <v>14192535.777487755</v>
      </c>
      <c r="H34" s="47">
        <f t="shared" si="7"/>
        <v>20897446.62085712</v>
      </c>
      <c r="I34" s="47">
        <f t="shared" si="7"/>
        <v>31140164.60752368</v>
      </c>
    </row>
    <row r="36" spans="1:10" ht="39.950000000000003" customHeight="1" x14ac:dyDescent="0.2">
      <c r="A36" s="487" t="s">
        <v>413</v>
      </c>
      <c r="B36" s="487"/>
      <c r="C36" s="487"/>
      <c r="D36" s="487"/>
      <c r="E36" s="487"/>
      <c r="F36" s="487"/>
      <c r="G36" s="487"/>
      <c r="H36" s="487"/>
      <c r="I36" s="487"/>
      <c r="J36" s="487"/>
    </row>
    <row r="38" spans="1:10" x14ac:dyDescent="0.2">
      <c r="C38" s="62"/>
    </row>
    <row r="39" spans="1:10" x14ac:dyDescent="0.2">
      <c r="C39" s="62"/>
    </row>
    <row r="40" spans="1:10" x14ac:dyDescent="0.2">
      <c r="C40" s="62"/>
    </row>
    <row r="41" spans="1:10" x14ac:dyDescent="0.2">
      <c r="C41" s="62"/>
    </row>
    <row r="42" spans="1:10" x14ac:dyDescent="0.2">
      <c r="C42" s="62"/>
    </row>
  </sheetData>
  <mergeCells count="4">
    <mergeCell ref="A1:G1"/>
    <mergeCell ref="A13:B13"/>
    <mergeCell ref="A2:I2"/>
    <mergeCell ref="A36:J36"/>
  </mergeCells>
  <pageMargins left="0.7" right="0.7" top="0.75" bottom="0.75" header="0.3" footer="0.3"/>
  <pageSetup scale="75" orientation="landscape" r:id="rId1"/>
</worksheet>
</file>

<file path=docProps/app.xml><?xml version="1.0" encoding="utf-8"?>
<Properties xmlns="http://schemas.openxmlformats.org/officeDocument/2006/extended-properties" xmlns:vt="http://schemas.openxmlformats.org/officeDocument/2006/docPropsVTypes">
  <Application>Excel Android</Application>
  <DocSecurity>0</DocSecurity>
  <ScaleCrop>false</ScaleCrop>
  <HeadingPairs>
    <vt:vector size="4" baseType="variant">
      <vt:variant>
        <vt:lpstr>Worksheets</vt:lpstr>
      </vt:variant>
      <vt:variant>
        <vt:i4>20</vt:i4>
      </vt:variant>
      <vt:variant>
        <vt:lpstr>Named Ranges</vt:lpstr>
      </vt:variant>
      <vt:variant>
        <vt:i4>17</vt:i4>
      </vt:variant>
    </vt:vector>
  </HeadingPairs>
  <TitlesOfParts>
    <vt:vector size="37" baseType="lpstr">
      <vt:lpstr>Note for users</vt:lpstr>
      <vt:lpstr>1.Project Cost and MOF</vt:lpstr>
      <vt:lpstr>2.Capex Details</vt:lpstr>
      <vt:lpstr>3.Other Exp &amp; Taxes</vt:lpstr>
      <vt:lpstr>4.TL repayment sch</vt:lpstr>
      <vt:lpstr>5.Closing Stock &amp; W Capital</vt:lpstr>
      <vt:lpstr>6.Cons Profit &amp; Loss</vt:lpstr>
      <vt:lpstr>7.Balance Sheet</vt:lpstr>
      <vt:lpstr>8.Cash Flow </vt:lpstr>
      <vt:lpstr>9. Financial indiacators</vt:lpstr>
      <vt:lpstr>10.Grain Production details</vt:lpstr>
      <vt:lpstr>11.F&amp;V Crop Production details</vt:lpstr>
      <vt:lpstr>12.Facility 1 - Trading</vt:lpstr>
      <vt:lpstr>13.Facility 2 Grain Processing</vt:lpstr>
      <vt:lpstr>14. Facility 3 Warehouse</vt:lpstr>
      <vt:lpstr>15. Facility 4 Custom Hiring</vt:lpstr>
      <vt:lpstr>16.Facility 5 Agri Input</vt:lpstr>
      <vt:lpstr>17.Facility 6 Horti Processing </vt:lpstr>
      <vt:lpstr>Sheet1</vt:lpstr>
      <vt:lpstr>Sheet2</vt:lpstr>
      <vt:lpstr>1.Project Cost and MOF!Print_Area</vt:lpstr>
      <vt:lpstr>10.Grain Production details!Print_Area</vt:lpstr>
      <vt:lpstr>11.F&amp;V Crop Production details!Print_Area</vt:lpstr>
      <vt:lpstr>12.Facility 1 - Trading!Print_Area</vt:lpstr>
      <vt:lpstr>13.Facility 2 Grain Processing!Print_Area</vt:lpstr>
      <vt:lpstr>14. Facility 3 Warehouse!Print_Area</vt:lpstr>
      <vt:lpstr>15. Facility 4 Custom Hiring!Print_Area</vt:lpstr>
      <vt:lpstr>16.Facility 5 Agri Input!Print_Area</vt:lpstr>
      <vt:lpstr>17.Facility 6 Horti Processing !Print_Area</vt:lpstr>
      <vt:lpstr>2.Capex Details!Print_Area</vt:lpstr>
      <vt:lpstr>3.Other Exp &amp; Taxes!Print_Area</vt:lpstr>
      <vt:lpstr>4.TL repayment sch!Print_Area</vt:lpstr>
      <vt:lpstr>5.Closing Stock &amp; W Capital!Print_Area</vt:lpstr>
      <vt:lpstr>6.Cons Profit &amp; Loss!Print_Area</vt:lpstr>
      <vt:lpstr>7.Balance Sheet!Print_Area</vt:lpstr>
      <vt:lpstr>8.Cash Flow !Print_Area</vt:lpstr>
      <vt:lpstr>9. Financial indiacators!Print_Area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2022-05-06T10:29:21Z</dcterms:modified>
</cp:coreProperties>
</file>